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jrsp-fs01\users2$\mcruz\My Documents\"/>
    </mc:Choice>
  </mc:AlternateContent>
  <xr:revisionPtr revIDLastSave="0" documentId="8_{6AAC10BC-1EE2-4C6F-A613-D09A1D9E5EE1}" xr6:coauthVersionLast="47" xr6:coauthVersionMax="47" xr10:uidLastSave="{00000000-0000-0000-0000-000000000000}"/>
  <bookViews>
    <workbookView xWindow="12390" yWindow="2145" windowWidth="14310" windowHeight="11295" tabRatio="913" xr2:uid="{7335F600-EEED-43AA-ADB5-5C2181B61835}"/>
  </bookViews>
  <sheets>
    <sheet name="DISP_ENE" sheetId="1" r:id="rId1"/>
  </sheets>
  <definedNames>
    <definedName name="ACwvu.CICLO._.DISP." localSheetId="0" hidden="1">DISP_ENE!$N$29:$X$48</definedName>
    <definedName name="ACwvu.CICLO._.HRS." localSheetId="0" hidden="1">DISP_ENE!$A$29:$K$48</definedName>
    <definedName name="ACwvu.CICLO._.HRS_CARGA." localSheetId="0" hidden="1">DISP_ENE!$A$29:$L$48</definedName>
    <definedName name="ACwvu.DIESEL._.DISP." localSheetId="0" hidden="1">DISP_ENE!$N$84:$X$95</definedName>
    <definedName name="ACwvu.DIESEL._.HRS." localSheetId="0" hidden="1">DISP_ENE!$A$84:$K$95</definedName>
    <definedName name="ACwvu.DIESEL._.HRS_CARGA." localSheetId="0" hidden="1">DISP_ENE!$A$84:$L$92</definedName>
    <definedName name="ACwvu.DISP._.SE._.MENS._._._.RESERVA." localSheetId="0" hidden="1">DISP_ENE!$AE$5:$AN$27</definedName>
    <definedName name="ACwvu.GENERAL." localSheetId="0" hidden="1">DISP_ENE!$AC$7:$AC$31</definedName>
    <definedName name="ACwvu.HIDRO._.DISP." localSheetId="0" hidden="1">DISP_ENE!#REF!</definedName>
    <definedName name="ACwvu.HIDRO._.HRS." localSheetId="0" hidden="1">DISP_ENE!#REF!</definedName>
    <definedName name="ACwvu.HIDRO._.HRS_CARGA." localSheetId="0" hidden="1">DISP_ENE!#REF!</definedName>
    <definedName name="ACwvu.T._.GAS._.DISP." localSheetId="0" hidden="1">DISP_ENE!$N$53:$X$82</definedName>
    <definedName name="ACwvu.T._.GAS._.HRS." localSheetId="0" hidden="1">DISP_ENE!$A$53:$K$82</definedName>
    <definedName name="ACwvu.T._.GAS._.HRS_CARGA." localSheetId="0" hidden="1">DISP_ENE!$A$53:$L$82</definedName>
    <definedName name="ACwvu.VAPOR._.DISP." localSheetId="0" hidden="1">DISP_ENE!$N$3:$X$27</definedName>
    <definedName name="ACwvu.VAPOR._.HRS." localSheetId="0" hidden="1">DISP_ENE!$A$3:$K$27</definedName>
    <definedName name="ACwvu.VAPOR._.HRS_CARGA." localSheetId="0" hidden="1">DISP_ENE!$A$3:$L$27</definedName>
    <definedName name="Cwvu.CICLO._.DISP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CICLO._.HRS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CICLO._.HRS_CARGA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DIESEL._.DISP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DIESEL._.HRS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DIESEL._.HRS_CARGA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DISP._.SE._.MENS._._._.RESERVA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GENERAL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HIDRO._.DISP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HIDRO._.HRS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HIDRO._.HRS_CARGA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T._.GAS._.DISP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T._.GAS._.HRS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T._.GAS._.HRS_CARGA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VAPOR._.DISP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VAPOR._.HRS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Cwvu.VAPOR._.HRS_CARGA.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INFORME_AGO" hidden="1">{"DESV HR GROSS",#N/A,FALSE,"H_R_";"COSTO GEN 1",#N/A,FALSE,"H_R_";"COSTO COMB",#N/A,FALSE,"H_R_";"VAR H R",#N/A,FALSE,"H_R_";"VAPOR DISP",#N/A,FALSE,"DISP";"H R NETO",#N/A,FALSE,"H_R_";"CICLO DISP",#N/A,FALSE,"DISP";"CICLO HRS",#N/A,FALSE,"DISP";"DIESEL DISP",#N/A,FALSE,"DISP";"DIESEL HRS",#N/A,FALSE,"DISP";"HIDRO DISP",#N/A,FALSE,"DISP";"VAPOR HRS",#N/A,FALSE,"DISP";"HIDRO HRS",#N/A,FALSE,"DISP";"T GAS DISP",#N/A,FALSE,"DISP";"T GAS HRS",#N/A,FALSE,"DISP"}</definedName>
    <definedName name="PRELIMINAR_AGO" hidden="1">{"ANAL COSTO GEN",#N/A,FALSE,"H_R_";"COSTO COMB",#N/A,FALSE,"H_R_";"COSTO GEN 2",#N/A,FALSE,"H_R_";"DESV HR GROSS",#N/A,FALSE,"H_R_";"H R NETO",#N/A,FALSE,"H_R_";"VAR HR AG",#N/A,FALSE,"H_R_";"VAR H R",#N/A,FALSE,"H_R_";"VAR HR CS",#N/A,FALSE,"H_R_";"VAR HR PS",#N/A,FALSE,"H_R_";"VAR HR SJ",#N/A,FALSE,"H_R_";"CICLO DISP",#N/A,FALSE,"DISP";"CICLO HRS",#N/A,FALSE,"DISP";"DIESEL DISP",#N/A,FALSE,"DISP";"DIESEL HRS",#N/A,FALSE,"DISP";"HIDRO DISP",#N/A,FALSE,"DISP";"HIDRO HRS",#N/A,FALSE,"DISP";"T GAS DISP",#N/A,FALSE,"DISP";"T GAS HRS",#N/A,FALSE,"DISP";"VAPOR DISP",#N/A,FALSE,"DISP";"VAPOR HRS",#N/A,FALSE,"DISP";"DISP SE MENS _ RESERVA",#N/A,FALSE,"DISP";"GENERAL",#N/A,FALSE,"DISP"}</definedName>
    <definedName name="_xlnm.Print_Area" localSheetId="0">DISP_ENE!$A$1:$M$50</definedName>
    <definedName name="Swvu.CICLO._.DISP." localSheetId="0" hidden="1">DISP_ENE!$N$29:$X$48</definedName>
    <definedName name="Swvu.CICLO._.HRS." localSheetId="0" hidden="1">DISP_ENE!$A$29:$K$48</definedName>
    <definedName name="Swvu.CICLO._.HRS_CARGA." localSheetId="0" hidden="1">DISP_ENE!$A$29:$L$48</definedName>
    <definedName name="Swvu.DIESEL._.DISP." localSheetId="0" hidden="1">DISP_ENE!$N$84:$X$95</definedName>
    <definedName name="Swvu.DIESEL._.HRS." localSheetId="0" hidden="1">DISP_ENE!$A$84:$K$95</definedName>
    <definedName name="Swvu.DIESEL._.HRS_CARGA." localSheetId="0" hidden="1">DISP_ENE!$A$84:$L$92</definedName>
    <definedName name="Swvu.DISP._.SE._.MENS._._._.RESERVA." localSheetId="0" hidden="1">DISP_ENE!$AE$5:$AN$27</definedName>
    <definedName name="Swvu.GENERAL." localSheetId="0" hidden="1">DISP_ENE!$AC$7:$AC$31</definedName>
    <definedName name="Swvu.HIDRO._.DISP." localSheetId="0" hidden="1">DISP_ENE!#REF!</definedName>
    <definedName name="Swvu.HIDRO._.HRS." localSheetId="0" hidden="1">DISP_ENE!#REF!</definedName>
    <definedName name="Swvu.HIDRO._.HRS_CARGA." localSheetId="0" hidden="1">DISP_ENE!#REF!</definedName>
    <definedName name="Swvu.T._.GAS._.DISP." localSheetId="0" hidden="1">DISP_ENE!$N$53:$X$82</definedName>
    <definedName name="Swvu.T._.GAS._.HRS." localSheetId="0" hidden="1">DISP_ENE!$A$53:$K$82</definedName>
    <definedName name="Swvu.T._.GAS._.HRS_CARGA." localSheetId="0" hidden="1">DISP_ENE!$A$53:$L$82</definedName>
    <definedName name="Swvu.VAPOR._.DISP." localSheetId="0" hidden="1">DISP_ENE!$N$3:$X$27</definedName>
    <definedName name="Swvu.VAPOR._.HRS." localSheetId="0" hidden="1">DISP_ENE!$A$3:$K$27</definedName>
    <definedName name="Swvu.VAPOR._.HRS_CARGA." localSheetId="0" hidden="1">DISP_ENE!$A$3:$L$27</definedName>
    <definedName name="TEST_AGO" hidden="1">{"VAR HR AG",#N/A,FALSE,"H_R_"}</definedName>
    <definedName name="wrn.DISP_ANUAL." hidden="1">{"DISP SE ANUAL",#N/A,FALSE,"DISP";"GENERAL",#N/A,FALSE,"DISP"}</definedName>
    <definedName name="wrn.GOV_BOARD." hidden="1">{"MANT_FORZ",#N/A,FALSE,"GOVBRD";"rendimiento",#N/A,FALSE,"GOVBRD";"PAGE 1_A",#N/A,FALSE,"GOVBRD";"METAS SE",#N/A,FALSE,"GOVBRD"}</definedName>
    <definedName name="wrn.heat._.rate." hidden="1">{"DESV HR GROSS",#N/A,FALSE,"HR_FEB";"ANAL COSTO GEN",#N/A,FALSE,"HR_FEB";"COSTO GEN 1",#N/A,FALSE,"HR_FEB";"COSTO GEN 2",#N/A,FALSE,"HR_FEB";"H R NETO",#N/A,FALSE,"HR_FEB";"VAR H R",#N/A,FALSE,"HR_FEB";"VAR HR AG",#N/A,FALSE,"HR_FEB";"VAR HR CS",#N/A,FALSE,"HR_FEB";"VAR HR PS",#N/A,FALSE,"HR_FEB";"VAR HR SJ",#N/A,FALSE,"HR_FEB"}</definedName>
    <definedName name="wrn.METAS._.Y._.OBJETIVOS." hidden="1">{"METAS 4DE4",#N/A,FALSE,"DISP";"METAS 3DE4",#N/A,FALSE,"DISP";"METAS_2DE4",#N/A,FALSE,"DISP"}</definedName>
    <definedName name="wrn.MISC." hidden="1">{"PAGE 1_A",#N/A,FALSE,"GOVBRD"}</definedName>
    <definedName name="wrn.PRELIM._.EA._.ABR." hidden="1">{"DIESEL DISP",#N/A,FALSE,"DISP_ABR";"T GAS DISP",#N/A,FALSE,"DISP_ABR";"HIDRO DISP",#N/A,FALSE,"DISP_ABR";"CICLO DISP",#N/A,FALSE,"DISP_ABR";"VAPOR DISP",#N/A,FALSE,"DISP_ABR";"DISP SE MENS _ RESERVA",#N/A,FALSE,"DISP_ABR";"DISP SE ANUAL",#N/A,FALSE,"DISP";"GENERAL",#N/A,FALSE,"DISP_ABR";"GENERAL",#N/A,FALSE,"DISP"}</definedName>
    <definedName name="wrn.PRELIM._.EA._.JUL." hidden="1">{"DIESEL HRS",#N/A,FALSE,"DISP_JUL";"T GAS HRS",#N/A,FALSE,"DISP_JUL";"CICLO HRS",#N/A,FALSE,"DISP_JUL";"VAPOR HRS",#N/A,FALSE,"DISP_JUL";"DISP SE MENS _ RESERVA",#N/A,FALSE,"DISP_JUL";"GENERAL",#N/A,FALSE,"DISP_JUL";"DISP SE ANUAL",#N/A,FALSE,"DISP";"GENERAL",#N/A,FALSE,"DISP"}</definedName>
    <definedName name="wrn.PRELIM._.EA._.JUN." hidden="1">{"DIESEL HRS",#N/A,FALSE,"DISP_JUN";"HIDRO HRS",#N/A,FALSE,"DISP_JUN";"T GAS HRS",#N/A,FALSE,"DISP_JUN";"CICLO HRS",#N/A,FALSE,"DISP_JUN";"VAPOR HRS",#N/A,FALSE,"DISP_JUN";"DISP SE MENS _ RESERVA",#N/A,FALSE,"DISP_JUN";"GENERAL",#N/A,FALSE,"DISP_JUN";"GENERAL",#N/A,FALSE,"DISP";"DISP SE ANUAL",#N/A,FALSE,"DISP"}</definedName>
    <definedName name="wrn.PRELIM._.EA._.MAY." hidden="1">{"CICLO HRS",#N/A,FALSE,"DISP_MAY";"DIESEL HRS",#N/A,FALSE,"DISP_MAY";"HIDRO HRS",#N/A,FALSE,"DISP_MAY";"T GAS HRS",#N/A,FALSE,"DISP_MAY";"VAPOR HRS",#N/A,FALSE,"DISP_MAY";"DISP SE MENS _ RESERVA",#N/A,FALSE,"DISP_MAY";"GENERAL",#N/A,FALSE,"DISP_MAY";"DISP SE ANUAL",#N/A,FALSE,"DISP";"GENERAL",#N/A,FALSE,"DISP"}</definedName>
    <definedName name="wrn.PRELIM._.ENE." hidden="1">{"DIESEL HRS",#N/A,FALSE,"DISP_ENE";"HIDRO HRS",#N/A,FALSE,"DISP_ENE";"T GAS HRS",#N/A,FALSE,"DISP_ENE";"CICLO HRS",#N/A,FALSE,"DISP_ENE";"VAPOR HRS",#N/A,FALSE,"DISP_ENE";"DISP SE MENS _ RESERVA",#N/A,FALSE,"DISP_ENE";"DISP SE ANUAL",#N/A,FALSE,"DISP";"GENERAL",#N/A,FALSE,"DISP_ENE";"GENERAL",#N/A,FALSE,"DISP"}</definedName>
    <definedName name="wrn.TEST." hidden="1">{"T GAS HRS_CARGA",#N/A,FALSE,"DISP_MAR"}</definedName>
    <definedName name="wvu.CICLO._.DISP." localSheetId="0" hidden="1">{TRUE,TRUE,-0.8,-17,483.6,277.2,FALSE,TRUE,TRUE,TRUE,0,17,#N/A,56,#N/A,11.7974683544304,26.8636363636364,1,FALSE,FALSE,3,TRUE,1,FALSE,100,"Swvu.CICLO._.DISP.","ACwvu.CICLO._.DISP.",#N/A,FALSE,FALSE,0.47,0.58,1,1,1,"","",TRUE,FALSE,FALSE,FALSE,1,100,#N/A,#N/A,"=R55C16:R88C29",FALSE,#N/A,"Cwvu.CICLO._.DISP.",FALSE,FALSE,TRUE,1,180,180,FALSE,FALSE,TRUE,TRUE,TRUE}</definedName>
    <definedName name="wvu.CICLO._.HRS." localSheetId="0" hidden="1">{TRUE,TRUE,-0.8,-17,483.6,277.2,FALSE,TRUE,TRUE,TRUE,0,1,#N/A,55,#N/A,10.4918032786885,25.8636363636364,1,FALSE,FALSE,3,TRUE,1,FALSE,100,"Swvu.CICLO._.HRS.","ACwvu.CICLO._.HRS.",#N/A,FALSE,FALSE,0.47,0.58,1,1,1,"","",TRUE,FALSE,FALSE,FALSE,1,100,#N/A,#N/A,"=R55C1:R88C11",FALSE,#N/A,"Cwvu.CICLO._.HRS.",FALSE,FALSE,TRUE,1,180,180,FALSE,FALSE,TRUE,TRUE,TRUE}</definedName>
    <definedName name="wvu.CICLO._.HRS_CARGA." localSheetId="0" hidden="1">{TRUE,TRUE,-1.25,-15.5,484.5,276.75,FALSE,TRUE,TRUE,TRUE,0,6,#N/A,50,#N/A,11.6065573770492,24.7222222222222,1,FALSE,FALSE,3,TRUE,1,FALSE,100,"Swvu.CICLO._.HRS_CARGA.","ACwvu.CICLO._.HRS_CARGA.",#N/A,FALSE,FALSE,0.47,0.58,1,1,1,"","",TRUE,FALSE,FALSE,FALSE,1,100,#N/A,#N/A,"=R55C1:R88C13",FALSE,#N/A,"Cwvu.CICLO._.HRS_CARGA.",FALSE,FALSE,TRUE,1,180,180,FALSE,FALSE,TRUE,TRUE,TRUE}</definedName>
    <definedName name="wvu.DIESEL._.DISP." localSheetId="0" hidden="1">{TRUE,TRUE,-0.8,-17,483.6,277.2,FALSE,TRUE,TRUE,TRUE,0,17,#N/A,233,#N/A,11.7974683544304,24.1818181818182,1,FALSE,FALSE,3,TRUE,1,FALSE,100,"Swvu.DIESEL._.DISP.","ACwvu.DIESEL._.DISP.",#N/A,FALSE,FALSE,0.47,0.58,1,1,1,"","",TRUE,FALSE,FALSE,FALSE,1,100,#N/A,#N/A,"=R233C16:R253C29",FALSE,#N/A,"Cwvu.DIESEL._.DISP.",FALSE,FALSE,TRUE,1,180,180,FALSE,FALSE,TRUE,TRUE,TRUE}</definedName>
    <definedName name="wvu.DIESEL._.HRS." localSheetId="0" hidden="1">{TRUE,TRUE,-0.8,-17,483.6,277.2,FALSE,TRUE,TRUE,TRUE,0,1,#N/A,231,#N/A,10.4918032786885,24.1363636363636,1,FALSE,FALSE,3,TRUE,1,FALSE,100,"Swvu.DIESEL._.HRS.","ACwvu.DIESEL._.HRS.",#N/A,FALSE,FALSE,0.47,0.58,1,1,1,"","",TRUE,FALSE,FALSE,FALSE,1,100,#N/A,#N/A,"=R233C1:R251C11",FALSE,#N/A,"Cwvu.DIESEL._.HRS.",FALSE,FALSE,TRUE,1,180,180,FALSE,FALSE,TRUE,TRUE,TRUE}</definedName>
    <definedName name="wvu.DIESEL._.HRS_CARGA." localSheetId="0" hidden="1">{TRUE,TRUE,-1.25,-15.5,484.5,276.75,FALSE,TRUE,TRUE,TRUE,0,1,#N/A,234,#N/A,12.375,24.7647058823529,1,FALSE,FALSE,3,TRUE,1,FALSE,100,"Swvu.DIESEL._.HRS_CARGA.","ACwvu.DIESEL._.HRS_CARGA.",#N/A,FALSE,FALSE,0.47,0.58,1,1,1,"","",TRUE,FALSE,FALSE,FALSE,1,100,#N/A,#N/A,"=R233C1:R253C13",FALSE,#N/A,"Cwvu.DIESEL._.HRS_CARGA.",FALSE,FALSE,TRUE,1,180,180,FALSE,FALSE,TRUE,TRUE,TRUE}</definedName>
    <definedName name="wvu.DISP._.SE._.MENS._._._.RESERVA." localSheetId="0" hidden="1">{TRUE,TRUE,-0.8,-17,483.6,277.2,FALSE,TRUE,TRUE,TRUE,0,50,#N/A,5,#N/A,9.625,28.8333333333333,1,FALSE,FALSE,3,TRUE,1,FALSE,100,"Swvu.DISP._.SE._.MENS._._._.RESERVA.","ACwvu.DISP._.SE._.MENS._._._.RESERVA.",#N/A,FALSE,FALSE,0.47,0.58,1,1,1,"","",TRUE,FALSE,FALSE,FALSE,1,100,#N/A,#N/A,"=R3C50:R54C59",FALSE,#N/A,"Cwvu.DISP._.SE._.MENS._._._.RESERVA.",FALSE,FALSE,TRUE,1,180,180,FALSE,FALSE,TRUE,TRUE,TRUE}</definedName>
    <definedName name="wvu.GENERAL." localSheetId="0" hidden="1">{TRUE,TRUE,-0.8,-17,483.6,277.2,FALSE,TRUE,TRUE,TRUE,0,37,#N/A,1,#N/A,7.99186991869919,26.5833333333333,1,FALSE,FALSE,3,TRUE,1,FALSE,100,"Swvu.GENERAL.","ACwvu.GENERAL.",#N/A,FALSE,FALSE,0.47,0.58,1,1,1,"","",TRUE,FALSE,FALSE,FALSE,1,100,#N/A,#N/A,"=R5C38:R57C45",FALSE,#N/A,"Cwvu.GENERAL.",FALSE,FALSE,TRUE,1,180,180,FALSE,FALSE,TRUE,TRUE,TRUE}</definedName>
    <definedName name="wvu.HIDRO._.DISP." localSheetId="0" hidden="1">{TRUE,TRUE,-0.8,-17,483.6,277.2,FALSE,TRUE,TRUE,TRUE,0,16,#N/A,165,#N/A,11.126582278481,25.4347826086957,1,FALSE,FALSE,3,TRUE,1,FALSE,100,"Swvu.HIDRO._.DISP.","ACwvu.HIDRO._.DISP.",#N/A,FALSE,FALSE,0.47,0.58,1,1,1,"","",TRUE,FALSE,FALSE,FALSE,1,100,#N/A,#N/A,"=R165C16:R230C29",FALSE,#N/A,"Cwvu.HIDRO._.DISP.",FALSE,FALSE,TRUE,1,180,180,FALSE,FALSE,TRUE,TRUE,TRUE}</definedName>
    <definedName name="wvu.HIDRO._.HRS." localSheetId="0" hidden="1">{TRUE,TRUE,-0.8,-17,483.6,277.2,FALSE,TRUE,TRUE,TRUE,0,1,#N/A,165,#N/A,10.4918032786885,25.4347826086957,1,FALSE,FALSE,3,TRUE,1,FALSE,100,"Swvu.HIDRO._.HRS.","ACwvu.HIDRO._.HRS.",#N/A,FALSE,FALSE,0.47,0.58,1,1,1,"","",TRUE,FALSE,FALSE,FALSE,1,100,#N/A,#N/A,"=R165C1:R230C11",FALSE,#N/A,"Cwvu.HIDRO._.HRS.",FALSE,FALSE,TRUE,1,180,180,FALSE,FALSE,TRUE,TRUE,TRUE}</definedName>
    <definedName name="wvu.HIDRO._.HRS_CARGA." localSheetId="0" hidden="1">{TRUE,TRUE,-1.25,-15.5,484.5,276.75,FALSE,TRUE,TRUE,TRUE,0,1,#N/A,209,#N/A,12.375,26.5882352941176,1,FALSE,FALSE,3,TRUE,1,FALSE,100,"Swvu.HIDRO._.HRS_CARGA.","ACwvu.HIDRO._.HRS_CARGA.",#N/A,FALSE,FALSE,0.47,0.58,1,1,1,"","",TRUE,FALSE,FALSE,FALSE,1,100,#N/A,#N/A,"=R165C1:R230C13",FALSE,#N/A,"Cwvu.HIDRO._.HRS_CARGA.",FALSE,FALSE,TRUE,1,180,180,FALSE,FALSE,TRUE,TRUE,TRUE}</definedName>
    <definedName name="wvu.T._.GAS._.DISP." localSheetId="0" hidden="1">{TRUE,TRUE,-0.8,-17,483.6,277.2,FALSE,TRUE,TRUE,TRUE,0,17,#N/A,93,#N/A,11.7974683544304,26.3181818181818,1,FALSE,FALSE,3,TRUE,1,FALSE,100,"Swvu.T._.GAS._.DISP.","ACwvu.T._.GAS._.DISP.",#N/A,FALSE,FALSE,0.47,0.58,1,1,1,"","",TRUE,FALSE,FALSE,FALSE,1,100,#N/A,#N/A,"=R93C16:R163C29",FALSE,#N/A,"Cwvu.T._.GAS._.DISP.",FALSE,FALSE,TRUE,1,180,180,FALSE,FALSE,TRUE,TRUE,TRUE}</definedName>
    <definedName name="wvu.T._.GAS._.HRS." localSheetId="0" hidden="1">{TRUE,TRUE,-0.8,-17,483.6,277.2,FALSE,TRUE,TRUE,TRUE,0,1,#N/A,93,#N/A,10.4918032786885,26.3181818181818,1,FALSE,FALSE,3,TRUE,1,FALSE,100,"Swvu.T._.GAS._.HRS.","ACwvu.T._.GAS._.HRS.",#N/A,FALSE,FALSE,0.47,0.58,1,1,1,"","",TRUE,FALSE,FALSE,FALSE,1,100,#N/A,#N/A,"=R93C1:R163C12",FALSE,#N/A,"Cwvu.T._.GAS._.HRS.",FALSE,FALSE,TRUE,1,180,180,FALSE,FALSE,TRUE,TRUE,TRUE}</definedName>
    <definedName name="wvu.T._.GAS._.HRS_CARGA." localSheetId="0" hidden="1">{TRUE,TRUE,-1.25,-15.5,484.5,276.75,FALSE,TRUE,TRUE,TRUE,0,3,#N/A,143,#N/A,13.0227272727273,26.0588235294118,1,FALSE,FALSE,3,TRUE,1,FALSE,100,"Swvu.T._.GAS._.HRS_CARGA.","ACwvu.T._.GAS._.HRS_CARGA.",#N/A,FALSE,FALSE,0.47,0.58,1,1,1,"","",TRUE,FALSE,FALSE,FALSE,1,100,#N/A,#N/A,"=R93C1:R163C13",FALSE,#N/A,"Cwvu.T._.GAS._.HRS_CARGA.",FALSE,FALSE,TRUE,1,180,180,FALSE,FALSE,TRUE,TRUE,TRUE}</definedName>
    <definedName name="wvu.VAPOR._.DISP." localSheetId="0" hidden="1">{TRUE,TRUE,-0.8,-17,483.6,277.2,FALSE,TRUE,TRUE,TRUE,0,16,#N/A,1,#N/A,11.126582278481,26.5833333333333,1,FALSE,FALSE,3,TRUE,1,FALSE,100,"Swvu.VAPOR._.DISP.","ACwvu.VAPOR._.DISP.",#N/A,FALSE,FALSE,0.47,0.58,1,1,1,"","",TRUE,FALSE,FALSE,FALSE,1,100,#N/A,#N/A,"=R1C16:R53C29",FALSE,#N/A,"Cwvu.VAPOR._.DISP.",FALSE,FALSE,TRUE,1,180,180,FALSE,FALSE,TRUE,TRUE,TRUE}</definedName>
    <definedName name="wvu.VAPOR._.HRS." localSheetId="0" hidden="1">{TRUE,TRUE,-0.8,-17,483.6,277.2,FALSE,TRUE,TRUE,TRUE,0,1,#N/A,3,#N/A,10.4918032786885,28.2083333333333,1,FALSE,FALSE,3,TRUE,1,FALSE,100,"Swvu.VAPOR._.HRS.","ACwvu.VAPOR._.HRS.",#N/A,FALSE,FALSE,0.47,0.58,1,1,1,"","",TRUE,FALSE,FALSE,FALSE,1,100,#N/A,#N/A,"=R1C1:R53C11",FALSE,#N/A,"Cwvu.VAPOR._.HRS.",FALSE,FALSE,TRUE,1,180,180,FALSE,FALSE,TRUE,TRUE,TRUE}</definedName>
    <definedName name="wvu.VAPOR._.HRS_CARGA." localSheetId="0" hidden="1">{TRUE,TRUE,-1.25,-15.5,484.5,276.75,FALSE,TRUE,TRUE,TRUE,0,6,#N/A,30,#N/A,11.6065573770492,27.2941176470588,1,FALSE,FALSE,3,TRUE,1,FALSE,100,"Swvu.VAPOR._.HRS_CARGA.","ACwvu.VAPOR._.HRS_CARGA.",#N/A,FALSE,FALSE,0.47,0.58,1,1,1,"","",TRUE,FALSE,FALSE,FALSE,1,100,#N/A,#N/A,"=R1C1:R53C13",FALSE,#N/A,"Cwvu.VAPOR._.HRS_CARGA.",FALSE,FALSE,TRUE,1,180,180,FALSE,FALSE,TRUE,TRUE,TRUE}</definedName>
    <definedName name="Z_745B3D65_3381_11D2_8DF0_00A024E9CD0E_.wvu.PrintArea" localSheetId="0" hidden="1">DISP_ENE!$N$29:$X$48</definedName>
    <definedName name="Z_745B3D65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7A_3381_11D2_8DF0_00A024E9CD0E_.wvu.PrintArea" localSheetId="0" hidden="1">DISP_ENE!$A$29:$K$48</definedName>
    <definedName name="Z_745B3D7A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84_3381_11D2_8DF0_00A024E9CD0E_.wvu.PrintArea" localSheetId="0" hidden="1">DISP_ENE!$A$29:$L$48</definedName>
    <definedName name="Z_745B3D84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8D_3381_11D2_8DF0_00A024E9CD0E_.wvu.PrintArea" localSheetId="0" hidden="1">DISP_ENE!$N$84:$X$95</definedName>
    <definedName name="Z_745B3D8D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A2_3381_11D2_8DF0_00A024E9CD0E_.wvu.PrintArea" localSheetId="0" hidden="1">DISP_ENE!$A$84:$K$93</definedName>
    <definedName name="Z_745B3DA2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AC_3381_11D2_8DF0_00A024E9CD0E_.wvu.PrintArea" localSheetId="0" hidden="1">DISP_ENE!$A$84:$L$95</definedName>
    <definedName name="Z_745B3DAC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B5_3381_11D2_8DF0_00A024E9CD0E_.wvu.PrintArea" localSheetId="0" hidden="1">DISP_ENE!$AE$5:$AN$28</definedName>
    <definedName name="Z_745B3DB5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C3_3381_11D2_8DF0_00A024E9CD0E_.wvu.PrintArea" localSheetId="0" hidden="1">DISP_ENE!$AC$7:$AC$31</definedName>
    <definedName name="Z_745B3DC3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D1_3381_11D2_8DF0_00A024E9CD0E_.wvu.PrintArea" localSheetId="0" hidden="1">DISP_ENE!#REF!</definedName>
    <definedName name="Z_745B3DD1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E6_3381_11D2_8DF0_00A024E9CD0E_.wvu.PrintArea" localSheetId="0" hidden="1">DISP_ENE!#REF!</definedName>
    <definedName name="Z_745B3DE6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DF0_3381_11D2_8DF0_00A024E9CD0E_.wvu.PrintArea" localSheetId="0" hidden="1">DISP_ENE!#REF!</definedName>
    <definedName name="Z_745B3DF0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E00_3381_11D2_8DF0_00A024E9CD0E_.wvu.PrintArea" localSheetId="0" hidden="1">DISP_ENE!$N$53:$X$82</definedName>
    <definedName name="Z_745B3E00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E15_3381_11D2_8DF0_00A024E9CD0E_.wvu.PrintArea" localSheetId="0" hidden="1">DISP_ENE!$A$53:$K$82</definedName>
    <definedName name="Z_745B3E15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E1E_3381_11D2_8DF0_00A024E9CD0E_.wvu.PrintArea" localSheetId="0" hidden="1">DISP_ENE!$A$53:$L$82</definedName>
    <definedName name="Z_745B3E1E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E27_3381_11D2_8DF0_00A024E9CD0E_.wvu.PrintArea" localSheetId="0" hidden="1">DISP_ENE!$N$3:$X$27</definedName>
    <definedName name="Z_745B3E27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E3C_3381_11D2_8DF0_00A024E9CD0E_.wvu.PrintArea" localSheetId="0" hidden="1">DISP_ENE!$A$3:$K$27</definedName>
    <definedName name="Z_745B3E3C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  <definedName name="Z_745B3E46_3381_11D2_8DF0_00A024E9CD0E_.wvu.PrintArea" localSheetId="0" hidden="1">DISP_ENE!$A$3:$L$27</definedName>
    <definedName name="Z_745B3E46_3381_11D2_8DF0_00A024E9CD0E_.wvu.Rows" localSheetId="0" hidden="1">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,DISP_ENE!#REF!</definedName>
  </definedNames>
  <calcPr calcId="191028"/>
  <customWorkbookViews>
    <customWorkbookView name="CICLO DISP (acum.)" guid="{745B3D60-3381-11D2-8DF0-00A024E9CD0E}" maximized="1" xWindow="2" windowWidth="634" windowHeight="340" tabRatio="664" activeSheetId="13"/>
    <customWorkbookView name="CICLO DISP (CAP ANUAL)" guid="{745B3D61-3381-11D2-8DF0-00A024E9CD0E}" maximized="1" xWindow="2" windowWidth="634" windowHeight="340" tabRatio="664" activeSheetId="15"/>
    <customWorkbookView name="CICLO DISP (DISP_ABR)" guid="{745B3D62-3381-11D2-8DF0-00A024E9CD0E}" maximized="1" xWindow="2" windowWidth="634" windowHeight="340" tabRatio="664" activeSheetId="4"/>
    <customWorkbookView name="CICLO DISP (DISP_AGO)" guid="{745B3D63-3381-11D2-8DF0-00A024E9CD0E}" maximized="1" xWindow="2" windowWidth="634" windowHeight="340" tabRatio="664" activeSheetId="8"/>
    <customWorkbookView name="CICLO DISP (DISP_DIC)" guid="{745B3D64-3381-11D2-8DF0-00A024E9CD0E}" maximized="1" xWindow="2" windowWidth="634" windowHeight="340" tabRatio="664" activeSheetId="12"/>
    <customWorkbookView name="CICLO DISP (DISP_ENE)" guid="{745B3D65-3381-11D2-8DF0-00A024E9CD0E}" maximized="1" xWindow="2" windowWidth="634" windowHeight="340" tabRatio="664" activeSheetId="1"/>
    <customWorkbookView name="CICLO DISP (DISP_FEB)" guid="{745B3D66-3381-11D2-8DF0-00A024E9CD0E}" maximized="1" xWindow="2" windowWidth="634" windowHeight="340" tabRatio="664" activeSheetId="2"/>
    <customWorkbookView name="CICLO DISP (DISP_JUL)" guid="{745B3D67-3381-11D2-8DF0-00A024E9CD0E}" maximized="1" xWindow="2" yWindow="2" windowWidth="599" windowHeight="309" tabRatio="664" activeSheetId="7"/>
    <customWorkbookView name="CICLO DISP (DISP_JUN)" guid="{745B3D68-3381-11D2-8DF0-00A024E9CD0E}" maximized="1" xWindow="2" windowWidth="634" windowHeight="340" tabRatio="664" activeSheetId="6"/>
    <customWorkbookView name="CICLO DISP (DISP_MAR)" guid="{745B3D69-3381-11D2-8DF0-00A024E9CD0E}" maximized="1" xWindow="2" windowWidth="634" windowHeight="340" tabRatio="664" activeSheetId="3"/>
    <customWorkbookView name="CICLO DISP (DISP_MAY)" guid="{745B3D6A-3381-11D2-8DF0-00A024E9CD0E}" maximized="1" xWindow="2" windowWidth="634" windowHeight="340" tabRatio="664" activeSheetId="5"/>
    <customWorkbookView name="CICLO DISP (DISP_NOV)" guid="{745B3D6B-3381-11D2-8DF0-00A024E9CD0E}" maximized="1" xWindow="2" windowWidth="634" windowHeight="340" tabRatio="664" activeSheetId="11"/>
    <customWorkbookView name="CICLO DISP (DISP_OCT)" guid="{745B3D6C-3381-11D2-8DF0-00A024E9CD0E}" maximized="1" xWindow="2" windowWidth="634" windowHeight="340" tabRatio="664" activeSheetId="10"/>
    <customWorkbookView name="CICLO DISP (DISP_SEP)" guid="{745B3D6D-3381-11D2-8DF0-00A024E9CD0E}" maximized="1" xWindow="2" windowWidth="634" windowHeight="340" tabRatio="664" activeSheetId="9"/>
    <customWorkbookView name="CICLO HR CARGA (DISP_DIC)" guid="{745B3D6E-3381-11D2-8DF0-00A024E9CD0E}" maximized="1" xWindow="2" yWindow="2" windowWidth="636" windowHeight="340" tabRatio="664" activeSheetId="12"/>
    <customWorkbookView name="CICLO HR CARGA (DISP_NOV)" guid="{745B3D6F-3381-11D2-8DF0-00A024E9CD0E}" maximized="1" xWindow="2" yWindow="2" windowWidth="636" windowHeight="340" tabRatio="664" activeSheetId="11"/>
    <customWorkbookView name="CICLO HR CARGA (DISP_OCT)" guid="{745B3D70-3381-11D2-8DF0-00A024E9CD0E}" maximized="1" xWindow="2" yWindow="2" windowWidth="636" windowHeight="340" tabRatio="664" activeSheetId="10"/>
    <customWorkbookView name="CICLO HR CARGA (DISP_SEP)" guid="{745B3D71-3381-11D2-8DF0-00A024E9CD0E}" maximized="1" xWindow="2" yWindow="2" windowWidth="636" windowHeight="340" tabRatio="664" activeSheetId="9"/>
    <customWorkbookView name="CICLO HR_CARGA (DISP_AGO)" guid="{745B3D72-3381-11D2-8DF0-00A024E9CD0E}" maximized="1" xWindow="2" yWindow="2" windowWidth="636" windowHeight="340" tabRatio="664" activeSheetId="8"/>
    <customWorkbookView name="CICLO HR_CARGA (DISP_JUL)" guid="{745B3D73-3381-11D2-8DF0-00A024E9CD0E}" maximized="1" xWindow="2" yWindow="2" windowWidth="636" windowHeight="340" tabRatio="664" activeSheetId="7"/>
    <customWorkbookView name="CICLO HR_CARGA (DISP_JUN)" guid="{745B3D74-3381-11D2-8DF0-00A024E9CD0E}" maximized="1" xWindow="2" yWindow="2" windowWidth="636" windowHeight="340" tabRatio="664" activeSheetId="6"/>
    <customWorkbookView name="CICLO HRS (acum.)" guid="{745B3D75-3381-11D2-8DF0-00A024E9CD0E}" maximized="1" xWindow="2" windowWidth="634" windowHeight="340" tabRatio="664" activeSheetId="13"/>
    <customWorkbookView name="CICLO HRS (CAP ANUAL)" guid="{745B3D76-3381-11D2-8DF0-00A024E9CD0E}" maximized="1" xWindow="2" windowWidth="634" windowHeight="340" tabRatio="664" activeSheetId="15"/>
    <customWorkbookView name="CICLO HRS (DISP_ABR)" guid="{745B3D77-3381-11D2-8DF0-00A024E9CD0E}" maximized="1" xWindow="2" windowWidth="634" windowHeight="340" tabRatio="664" activeSheetId="4"/>
    <customWorkbookView name="CICLO HRS (DISP_AGO)" guid="{745B3D78-3381-11D2-8DF0-00A024E9CD0E}" maximized="1" xWindow="2" windowWidth="634" windowHeight="340" tabRatio="664" activeSheetId="8"/>
    <customWorkbookView name="CICLO HRS (DISP_DIC)" guid="{745B3D79-3381-11D2-8DF0-00A024E9CD0E}" maximized="1" xWindow="2" windowWidth="634" windowHeight="340" tabRatio="664" activeSheetId="12"/>
    <customWorkbookView name="CICLO HRS (DISP_ENE)" guid="{745B3D7A-3381-11D2-8DF0-00A024E9CD0E}" maximized="1" xWindow="2" windowWidth="634" windowHeight="340" tabRatio="664" activeSheetId="1"/>
    <customWorkbookView name="CICLO HRS (DISP_FEB)" guid="{745B3D7B-3381-11D2-8DF0-00A024E9CD0E}" maximized="1" xWindow="2" windowWidth="634" windowHeight="340" tabRatio="664" activeSheetId="2"/>
    <customWorkbookView name="CICLO HRS (DISP_JUL)" guid="{745B3D7C-3381-11D2-8DF0-00A024E9CD0E}" maximized="1" xWindow="2" windowWidth="634" windowHeight="340" tabRatio="664" activeSheetId="7"/>
    <customWorkbookView name="CICLO HRS (DISP_JUN)" guid="{745B3D7D-3381-11D2-8DF0-00A024E9CD0E}" maximized="1" xWindow="2" windowWidth="634" windowHeight="340" tabRatio="664" activeSheetId="6"/>
    <customWorkbookView name="CICLO HRS (DISP_MAR)" guid="{745B3D7E-3381-11D2-8DF0-00A024E9CD0E}" maximized="1" xWindow="2" windowWidth="634" windowHeight="340" tabRatio="664" activeSheetId="3"/>
    <customWorkbookView name="CICLO HRS (DISP_MAY)" guid="{745B3D7F-3381-11D2-8DF0-00A024E9CD0E}" maximized="1" xWindow="2" windowWidth="634" windowHeight="340" tabRatio="664" activeSheetId="5"/>
    <customWorkbookView name="CICLO HRS (DISP_NOV)" guid="{745B3D80-3381-11D2-8DF0-00A024E9CD0E}" maximized="1" xWindow="2" windowWidth="634" windowHeight="340" tabRatio="664" activeSheetId="11"/>
    <customWorkbookView name="CICLO HRS (DISP_OCT)" guid="{745B3D81-3381-11D2-8DF0-00A024E9CD0E}" maximized="1" xWindow="2" windowWidth="634" windowHeight="340" tabRatio="664" activeSheetId="10"/>
    <customWorkbookView name="CICLO HRS (DISP_SEP)" guid="{745B3D82-3381-11D2-8DF0-00A024E9CD0E}" maximized="1" xWindow="2" windowWidth="634" windowHeight="340" tabRatio="664" activeSheetId="9"/>
    <customWorkbookView name="CICLO HRS_CARGA (DISP_ABR)" guid="{745B3D83-3381-11D2-8DF0-00A024E9CD0E}" maximized="1" xWindow="2" yWindow="2" windowWidth="636" windowHeight="340" tabRatio="664" activeSheetId="4"/>
    <customWorkbookView name="CICLO HRS_CARGA (DISP_ENE)" guid="{745B3D84-3381-11D2-8DF0-00A024E9CD0E}" maximized="1" xWindow="2" yWindow="2" windowWidth="636" windowHeight="340" tabRatio="664" activeSheetId="1"/>
    <customWorkbookView name="CICLO HRS_CARGA (DISP_FEB)" guid="{745B3D85-3381-11D2-8DF0-00A024E9CD0E}" maximized="1" xWindow="2" yWindow="2" windowWidth="636" windowHeight="340" tabRatio="664" activeSheetId="2"/>
    <customWorkbookView name="CICLO HRS_CARGA (DISP_MAR)" guid="{745B3D86-3381-11D2-8DF0-00A024E9CD0E}" maximized="1" xWindow="2" yWindow="2" windowWidth="636" windowHeight="340" tabRatio="664" activeSheetId="3"/>
    <customWorkbookView name="CICLO HRS_CARGA (DISP_MAY)" guid="{745B3D87-3381-11D2-8DF0-00A024E9CD0E}" maximized="1" xWindow="2" yWindow="2" windowWidth="636" windowHeight="340" tabRatio="664" activeSheetId="5"/>
    <customWorkbookView name="DIESEL DISP (acum.)" guid="{745B3D88-3381-11D2-8DF0-00A024E9CD0E}" maximized="1" xWindow="2" windowWidth="634" windowHeight="340" tabRatio="664" activeSheetId="13"/>
    <customWorkbookView name="DIESEL DISP (CAP ANUAL)" guid="{745B3D89-3381-11D2-8DF0-00A024E9CD0E}" maximized="1" xWindow="2" windowWidth="634" windowHeight="340" tabRatio="664" activeSheetId="15"/>
    <customWorkbookView name="DIESEL DISP (DISP_ABR)" guid="{745B3D8A-3381-11D2-8DF0-00A024E9CD0E}" maximized="1" xWindow="2" windowWidth="634" windowHeight="340" tabRatio="664" activeSheetId="4"/>
    <customWorkbookView name="DIESEL DISP (DISP_AGO)" guid="{745B3D8B-3381-11D2-8DF0-00A024E9CD0E}" maximized="1" xWindow="2" windowWidth="634" windowHeight="340" tabRatio="664" activeSheetId="8"/>
    <customWorkbookView name="DIESEL DISP (DISP_DIC)" guid="{745B3D8C-3381-11D2-8DF0-00A024E9CD0E}" maximized="1" xWindow="2" windowWidth="634" windowHeight="340" tabRatio="664" activeSheetId="12"/>
    <customWorkbookView name="DIESEL DISP (DISP_ENE)" guid="{745B3D8D-3381-11D2-8DF0-00A024E9CD0E}" maximized="1" xWindow="2" windowWidth="634" windowHeight="340" tabRatio="664" activeSheetId="1"/>
    <customWorkbookView name="DIESEL DISP (DISP_FEB)" guid="{745B3D8E-3381-11D2-8DF0-00A024E9CD0E}" maximized="1" xWindow="2" windowWidth="634" windowHeight="340" tabRatio="664" activeSheetId="2"/>
    <customWorkbookView name="DIESEL DISP (DISP_JUL)" guid="{745B3D8F-3381-11D2-8DF0-00A024E9CD0E}" maximized="1" xWindow="2" windowWidth="634" windowHeight="340" tabRatio="664" activeSheetId="7"/>
    <customWorkbookView name="DIESEL DISP (DISP_JUN)" guid="{745B3D90-3381-11D2-8DF0-00A024E9CD0E}" maximized="1" xWindow="2" windowWidth="634" windowHeight="340" tabRatio="664" activeSheetId="6"/>
    <customWorkbookView name="DIESEL DISP (DISP_MAR)" guid="{745B3D91-3381-11D2-8DF0-00A024E9CD0E}" maximized="1" xWindow="2" windowWidth="634" windowHeight="340" tabRatio="664" activeSheetId="3"/>
    <customWorkbookView name="DIESEL DISP (DISP_MAY)" guid="{745B3D92-3381-11D2-8DF0-00A024E9CD0E}" maximized="1" xWindow="2" windowWidth="634" windowHeight="340" tabRatio="664" activeSheetId="5"/>
    <customWorkbookView name="DIESEL DISP (DISP_NOV)" guid="{745B3D93-3381-11D2-8DF0-00A024E9CD0E}" maximized="1" xWindow="2" windowWidth="634" windowHeight="340" tabRatio="664" activeSheetId="11"/>
    <customWorkbookView name="DIESEL DISP (DISP_OCT)" guid="{745B3D94-3381-11D2-8DF0-00A024E9CD0E}" maximized="1" xWindow="2" windowWidth="634" windowHeight="340" tabRatio="664" activeSheetId="10"/>
    <customWorkbookView name="DIESEL DISP (DISP_SEP)" guid="{745B3D95-3381-11D2-8DF0-00A024E9CD0E}" maximized="1" xWindow="2" windowWidth="634" windowHeight="340" tabRatio="664" activeSheetId="9"/>
    <customWorkbookView name="DIESEL HR CARGA (DISP_AGO)" guid="{745B3D96-3381-11D2-8DF0-00A024E9CD0E}" maximized="1" xWindow="2" yWindow="2" windowWidth="636" windowHeight="340" tabRatio="664" activeSheetId="8"/>
    <customWorkbookView name="DIESEL HR CARGA (DISP_DIC)" guid="{745B3D97-3381-11D2-8DF0-00A024E9CD0E}" maximized="1" xWindow="2" yWindow="2" windowWidth="636" windowHeight="340" tabRatio="664" activeSheetId="12"/>
    <customWorkbookView name="DIESEL HR CARGA (DISP_NOV)" guid="{745B3D98-3381-11D2-8DF0-00A024E9CD0E}" maximized="1" xWindow="2" yWindow="2" windowWidth="636" windowHeight="340" tabRatio="664" activeSheetId="11"/>
    <customWorkbookView name="DIESEL HR CARGA (DISP_OCT)" guid="{745B3D99-3381-11D2-8DF0-00A024E9CD0E}" maximized="1" xWindow="2" yWindow="2" windowWidth="636" windowHeight="340" tabRatio="664" activeSheetId="10"/>
    <customWorkbookView name="DIESEL HR CARGA (DISP_SEP)" guid="{745B3D9A-3381-11D2-8DF0-00A024E9CD0E}" maximized="1" xWindow="2" yWindow="2" windowWidth="636" windowHeight="340" tabRatio="664" activeSheetId="9"/>
    <customWorkbookView name="DIESEL HR_CARGA (DISP_JUL)" guid="{745B3D9B-3381-11D2-8DF0-00A024E9CD0E}" maximized="1" xWindow="2" yWindow="2" windowWidth="636" windowHeight="340" tabRatio="664" activeSheetId="7"/>
    <customWorkbookView name="DIESEL HR_CARGA (DISP_JUN)" guid="{745B3D9C-3381-11D2-8DF0-00A024E9CD0E}" maximized="1" xWindow="2" yWindow="2" windowWidth="636" windowHeight="340" tabRatio="664" activeSheetId="6"/>
    <customWorkbookView name="DIESEL HRS (acum.)" guid="{745B3D9D-3381-11D2-8DF0-00A024E9CD0E}" maximized="1" xWindow="2" windowWidth="634" windowHeight="340" tabRatio="664" activeSheetId="13"/>
    <customWorkbookView name="DIESEL HRS (CAP ANUAL)" guid="{745B3D9E-3381-11D2-8DF0-00A024E9CD0E}" maximized="1" xWindow="2" windowWidth="634" windowHeight="340" tabRatio="664" activeSheetId="15"/>
    <customWorkbookView name="DIESEL HRS (DISP_ABR)" guid="{745B3D9F-3381-11D2-8DF0-00A024E9CD0E}" maximized="1" xWindow="2" windowWidth="634" windowHeight="340" tabRatio="664" activeSheetId="4"/>
    <customWorkbookView name="DIESEL HRS (DISP_AGO)" guid="{745B3DA0-3381-11D2-8DF0-00A024E9CD0E}" maximized="1" xWindow="2" windowWidth="634" windowHeight="340" tabRatio="664" activeSheetId="8"/>
    <customWorkbookView name="DIESEL HRS (DISP_DIC)" guid="{745B3DA1-3381-11D2-8DF0-00A024E9CD0E}" maximized="1" xWindow="2" windowWidth="634" windowHeight="340" tabRatio="664" activeSheetId="12"/>
    <customWorkbookView name="DIESEL HRS (DISP_ENE)" guid="{745B3DA2-3381-11D2-8DF0-00A024E9CD0E}" maximized="1" xWindow="2" windowWidth="634" windowHeight="340" tabRatio="664" activeSheetId="1"/>
    <customWorkbookView name="DIESEL HRS (DISP_FEB)" guid="{745B3DA3-3381-11D2-8DF0-00A024E9CD0E}" maximized="1" xWindow="2" windowWidth="634" windowHeight="340" tabRatio="664" activeSheetId="2"/>
    <customWorkbookView name="DIESEL HRS (DISP_JUL)" guid="{745B3DA4-3381-11D2-8DF0-00A024E9CD0E}" maximized="1" xWindow="2" windowWidth="634" windowHeight="340" tabRatio="664" activeSheetId="7"/>
    <customWorkbookView name="DIESEL HRS (DISP_JUN)" guid="{745B3DA5-3381-11D2-8DF0-00A024E9CD0E}" maximized="1" xWindow="2" windowWidth="634" windowHeight="340" tabRatio="664" activeSheetId="6"/>
    <customWorkbookView name="DIESEL HRS (DISP_MAR)" guid="{745B3DA6-3381-11D2-8DF0-00A024E9CD0E}" maximized="1" xWindow="2" windowWidth="634" windowHeight="340" tabRatio="664" activeSheetId="3"/>
    <customWorkbookView name="DIESEL HRS (DISP_MAY)" guid="{745B3DA7-3381-11D2-8DF0-00A024E9CD0E}" maximized="1" xWindow="2" windowWidth="634" windowHeight="340" tabRatio="664" activeSheetId="5"/>
    <customWorkbookView name="DIESEL HRS (DISP_NOV)" guid="{745B3DA8-3381-11D2-8DF0-00A024E9CD0E}" maximized="1" xWindow="2" windowWidth="634" windowHeight="340" tabRatio="664" activeSheetId="11"/>
    <customWorkbookView name="DIESEL HRS (DISP_OCT)" guid="{745B3DA9-3381-11D2-8DF0-00A024E9CD0E}" maximized="1" xWindow="2" windowWidth="634" windowHeight="340" tabRatio="664" activeSheetId="10"/>
    <customWorkbookView name="DIESEL HRS (DISP_SEP)" guid="{745B3DAA-3381-11D2-8DF0-00A024E9CD0E}" maximized="1" xWindow="2" windowWidth="634" windowHeight="340" tabRatio="664" activeSheetId="9"/>
    <customWorkbookView name="DIESEL HRS_CARGA (DISP_ABR)" guid="{745B3DAB-3381-11D2-8DF0-00A024E9CD0E}" maximized="1" xWindow="2" yWindow="2" windowWidth="636" windowHeight="340" tabRatio="664" activeSheetId="4"/>
    <customWorkbookView name="DIESEL HRS_CARGA (DISP_ENE)" guid="{745B3DAC-3381-11D2-8DF0-00A024E9CD0E}" maximized="1" xWindow="2" yWindow="2" windowWidth="636" windowHeight="340" tabRatio="664" activeSheetId="1"/>
    <customWorkbookView name="DIESEL HRS_CARGA (DISP_FEB)" guid="{745B3DAD-3381-11D2-8DF0-00A024E9CD0E}" maximized="1" xWindow="2" yWindow="2" windowWidth="636" windowHeight="340" tabRatio="664" activeSheetId="2"/>
    <customWorkbookView name="DIESEL HRS_CARGA (DISP_MAR)" guid="{745B3DAE-3381-11D2-8DF0-00A024E9CD0E}" maximized="1" xWindow="2" yWindow="2" windowWidth="636" windowHeight="340" tabRatio="664" activeSheetId="3"/>
    <customWorkbookView name="DIESEL HRS_CARGA (DISP_MAY)" guid="{745B3DAF-3381-11D2-8DF0-00A024E9CD0E}" maximized="1" xWindow="2" yWindow="2" windowWidth="636" windowHeight="340" tabRatio="664" activeSheetId="5"/>
    <customWorkbookView name="DISP SE ANUAL (acum.)" guid="{745B3DB0-3381-11D2-8DF0-00A024E9CD0E}" maximized="1" xWindow="2" windowWidth="634" windowHeight="340" tabRatio="664" activeSheetId="13"/>
    <customWorkbookView name="DISP SE ANUAL (CAP ANUAL)" guid="{745B3DB1-3381-11D2-8DF0-00A024E9CD0E}" maximized="1" xWindow="2" windowWidth="634" windowHeight="340" tabRatio="664" activeSheetId="15"/>
    <customWorkbookView name="DISP SE MENS _ RESERVA (DISP_ABR)" guid="{745B3DB2-3381-11D2-8DF0-00A024E9CD0E}" maximized="1" xWindow="2" windowWidth="634" windowHeight="340" tabRatio="664" activeSheetId="4"/>
    <customWorkbookView name="DISP SE MENS _ RESERVA (DISP_AGO)" guid="{745B3DB3-3381-11D2-8DF0-00A024E9CD0E}" maximized="1" xWindow="2" windowWidth="634" windowHeight="340" tabRatio="664" activeSheetId="8"/>
    <customWorkbookView name="DISP SE MENS _ RESERVA (DISP_DIC)" guid="{745B3DB4-3381-11D2-8DF0-00A024E9CD0E}" maximized="1" xWindow="2" windowWidth="634" windowHeight="340" tabRatio="664" activeSheetId="12"/>
    <customWorkbookView name="DISP SE MENS _ RESERVA (DISP_ENE)" guid="{745B3DB5-3381-11D2-8DF0-00A024E9CD0E}" maximized="1" xWindow="2" windowWidth="634" windowHeight="340" tabRatio="664" activeSheetId="1"/>
    <customWorkbookView name="DISP SE MENS _ RESERVA (DISP_FEB)" guid="{745B3DB6-3381-11D2-8DF0-00A024E9CD0E}" maximized="1" xWindow="2" windowWidth="634" windowHeight="340" tabRatio="664" activeSheetId="2"/>
    <customWorkbookView name="DISP SE MENS _ RESERVA (DISP_JUL)" guid="{745B3DB7-3381-11D2-8DF0-00A024E9CD0E}" maximized="1" xWindow="2" windowWidth="634" windowHeight="340" tabRatio="664" activeSheetId="7"/>
    <customWorkbookView name="DISP SE MENS _ RESERVA (DISP_JUN)" guid="{745B3DB8-3381-11D2-8DF0-00A024E9CD0E}" maximized="1" xWindow="2" windowWidth="634" windowHeight="340" tabRatio="664" activeSheetId="6"/>
    <customWorkbookView name="DISP SE MENS _ RESERVA (DISP_MAR)" guid="{745B3DB9-3381-11D2-8DF0-00A024E9CD0E}" maximized="1" xWindow="2" windowWidth="634" windowHeight="340" tabRatio="664" activeSheetId="3"/>
    <customWorkbookView name="DISP SE MENS _ RESERVA (DISP_MAY)" guid="{745B3DBA-3381-11D2-8DF0-00A024E9CD0E}" maximized="1" xWindow="2" windowWidth="634" windowHeight="340" tabRatio="664" activeSheetId="5"/>
    <customWorkbookView name="DISP SE MENS _ RESERVA (DISP_NOV)" guid="{745B3DBB-3381-11D2-8DF0-00A024E9CD0E}" maximized="1" xWindow="2" windowWidth="634" windowHeight="340" tabRatio="664" activeSheetId="11"/>
    <customWorkbookView name="DISP SE MENS _ RESERVA (DISP_OCT)" guid="{745B3DBC-3381-11D2-8DF0-00A024E9CD0E}" maximized="1" xWindow="2" windowWidth="634" windowHeight="340" tabRatio="664" activeSheetId="10"/>
    <customWorkbookView name="DISP SE MENS _ RESERVA (DISP_SEP)" guid="{745B3DBD-3381-11D2-8DF0-00A024E9CD0E}" maximized="1" xWindow="2" windowWidth="634" windowHeight="340" tabRatio="664" activeSheetId="9"/>
    <customWorkbookView name="GENERAL (acum.)" guid="{745B3DBE-3381-11D2-8DF0-00A024E9CD0E}" maximized="1" xWindow="2" windowWidth="634" windowHeight="340" tabRatio="664" activeSheetId="13"/>
    <customWorkbookView name="GENERAL (CAP ANUAL)" guid="{745B3DBF-3381-11D2-8DF0-00A024E9CD0E}" maximized="1" xWindow="2" windowWidth="634" windowHeight="340" tabRatio="664" activeSheetId="15"/>
    <customWorkbookView name="GENERAL (DISP_ABR)" guid="{745B3DC0-3381-11D2-8DF0-00A024E9CD0E}" maximized="1" xWindow="2" windowWidth="634" windowHeight="340" tabRatio="664" activeSheetId="4"/>
    <customWorkbookView name="GENERAL (DISP_AGO)" guid="{745B3DC1-3381-11D2-8DF0-00A024E9CD0E}" maximized="1" xWindow="2" windowWidth="634" windowHeight="340" tabRatio="664" activeSheetId="8"/>
    <customWorkbookView name="GENERAL (DISP_DIC)" guid="{745B3DC2-3381-11D2-8DF0-00A024E9CD0E}" maximized="1" xWindow="2" windowWidth="634" windowHeight="340" tabRatio="664" activeSheetId="12"/>
    <customWorkbookView name="GENERAL (DISP_ENE)" guid="{745B3DC3-3381-11D2-8DF0-00A024E9CD0E}" maximized="1" xWindow="2" windowWidth="634" windowHeight="340" tabRatio="664" activeSheetId="1"/>
    <customWorkbookView name="GENERAL (DISP_FEB)" guid="{745B3DC4-3381-11D2-8DF0-00A024E9CD0E}" maximized="1" xWindow="2" windowWidth="634" windowHeight="340" tabRatio="664" activeSheetId="2"/>
    <customWorkbookView name="GENERAL (DISP_JUL)" guid="{745B3DC5-3381-11D2-8DF0-00A024E9CD0E}" maximized="1" xWindow="2" windowWidth="634" windowHeight="340" tabRatio="664" activeSheetId="7"/>
    <customWorkbookView name="GENERAL (DISP_JUN)" guid="{745B3DC6-3381-11D2-8DF0-00A024E9CD0E}" maximized="1" xWindow="2" windowWidth="634" windowHeight="340" tabRatio="664" activeSheetId="6"/>
    <customWorkbookView name="GENERAL (DISP_MAR)" guid="{745B3DC7-3381-11D2-8DF0-00A024E9CD0E}" maximized="1" xWindow="2" windowWidth="634" windowHeight="340" tabRatio="664" activeSheetId="3"/>
    <customWorkbookView name="GENERAL (DISP_MAY)" guid="{745B3DC8-3381-11D2-8DF0-00A024E9CD0E}" maximized="1" xWindow="2" windowWidth="634" windowHeight="340" tabRatio="664" activeSheetId="5"/>
    <customWorkbookView name="GENERAL (DISP_NOV)" guid="{745B3DC9-3381-11D2-8DF0-00A024E9CD0E}" maximized="1" xWindow="2" windowWidth="634" windowHeight="340" tabRatio="664" activeSheetId="11"/>
    <customWorkbookView name="GENERAL (DISP_OCT)" guid="{745B3DCA-3381-11D2-8DF0-00A024E9CD0E}" maximized="1" xWindow="2" windowWidth="634" windowHeight="340" tabRatio="664" activeSheetId="10"/>
    <customWorkbookView name="GENERAL (DISP_SEP)" guid="{745B3DCB-3381-11D2-8DF0-00A024E9CD0E}" maximized="1" xWindow="2" windowWidth="634" windowHeight="340" tabRatio="664" activeSheetId="9"/>
    <customWorkbookView name="HIDRO DISP (acum.)" guid="{745B3DCC-3381-11D2-8DF0-00A024E9CD0E}" maximized="1" xWindow="2" windowWidth="634" windowHeight="340" tabRatio="664" activeSheetId="13"/>
    <customWorkbookView name="HIDRO DISP (CAP ANUAL)" guid="{745B3DCD-3381-11D2-8DF0-00A024E9CD0E}" maximized="1" xWindow="2" windowWidth="634" windowHeight="340" tabRatio="664" activeSheetId="15"/>
    <customWorkbookView name="HIDRO DISP (DISP_ABR)" guid="{745B3DCE-3381-11D2-8DF0-00A024E9CD0E}" maximized="1" xWindow="2" windowWidth="634" windowHeight="340" tabRatio="664" activeSheetId="4"/>
    <customWorkbookView name="HIDRO DISP (DISP_AGO)" guid="{745B3DCF-3381-11D2-8DF0-00A024E9CD0E}" maximized="1" xWindow="2" windowWidth="634" windowHeight="340" tabRatio="664" activeSheetId="8"/>
    <customWorkbookView name="HIDRO DISP (DISP_DIC)" guid="{745B3DD0-3381-11D2-8DF0-00A024E9CD0E}" maximized="1" xWindow="2" windowWidth="634" windowHeight="340" tabRatio="664" activeSheetId="12"/>
    <customWorkbookView name="HIDRO DISP (DISP_ENE)" guid="{745B3DD1-3381-11D2-8DF0-00A024E9CD0E}" maximized="1" xWindow="2" windowWidth="634" windowHeight="340" tabRatio="664" activeSheetId="1"/>
    <customWorkbookView name="HIDRO DISP (DISP_FEB)" guid="{745B3DD2-3381-11D2-8DF0-00A024E9CD0E}" maximized="1" xWindow="2" windowWidth="634" windowHeight="340" tabRatio="664" activeSheetId="2"/>
    <customWorkbookView name="HIDRO DISP (DISP_JUL)" guid="{745B3DD3-3381-11D2-8DF0-00A024E9CD0E}" maximized="1" xWindow="2" yWindow="2" windowWidth="599" windowHeight="309" tabRatio="664" activeSheetId="7"/>
    <customWorkbookView name="HIDRO DISP (DISP_JUN)" guid="{745B3DD4-3381-11D2-8DF0-00A024E9CD0E}" maximized="1" xWindow="2" windowWidth="634" windowHeight="340" tabRatio="664" activeSheetId="6"/>
    <customWorkbookView name="HIDRO DISP (DISP_MAR)" guid="{745B3DD5-3381-11D2-8DF0-00A024E9CD0E}" maximized="1" xWindow="2" windowWidth="634" windowHeight="340" tabRatio="664" activeSheetId="3"/>
    <customWorkbookView name="HIDRO DISP (DISP_MAY)" guid="{745B3DD6-3381-11D2-8DF0-00A024E9CD0E}" maximized="1" xWindow="2" windowWidth="634" windowHeight="340" tabRatio="664" activeSheetId="5"/>
    <customWorkbookView name="HIDRO DISP (DISP_NOV)" guid="{745B3DD7-3381-11D2-8DF0-00A024E9CD0E}" maximized="1" xWindow="2" windowWidth="634" windowHeight="340" tabRatio="664" activeSheetId="11"/>
    <customWorkbookView name="HIDRO DISP (DISP_OCT)" guid="{745B3DD8-3381-11D2-8DF0-00A024E9CD0E}" maximized="1" xWindow="2" windowWidth="634" windowHeight="340" tabRatio="664" activeSheetId="10"/>
    <customWorkbookView name="HIDRO DISP (DISP_SEP)" guid="{745B3DD9-3381-11D2-8DF0-00A024E9CD0E}" maximized="1" xWindow="2" windowWidth="634" windowHeight="340" tabRatio="664" activeSheetId="9"/>
    <customWorkbookView name="HIDRO HR CARGA (DISP_AGO)" guid="{745B3DDA-3381-11D2-8DF0-00A024E9CD0E}" maximized="1" xWindow="2" yWindow="2" windowWidth="636" windowHeight="340" tabRatio="664" activeSheetId="8"/>
    <customWorkbookView name="HIDRO HR CARGA (DISP_DIC)" guid="{745B3DDB-3381-11D2-8DF0-00A024E9CD0E}" maximized="1" xWindow="2" yWindow="2" windowWidth="636" windowHeight="340" tabRatio="664" activeSheetId="12"/>
    <customWorkbookView name="HIDRO HR CARGA (DISP_NOV)" guid="{745B3DDC-3381-11D2-8DF0-00A024E9CD0E}" maximized="1" xWindow="2" yWindow="2" windowWidth="636" windowHeight="340" tabRatio="664" activeSheetId="11"/>
    <customWorkbookView name="HIDRO HR CARGA (DISP_OCT)" guid="{745B3DDD-3381-11D2-8DF0-00A024E9CD0E}" maximized="1" xWindow="2" yWindow="2" windowWidth="636" windowHeight="340" tabRatio="664" activeSheetId="10"/>
    <customWorkbookView name="HIDRO HR CARGA (DISP_SEP)" guid="{745B3DDE-3381-11D2-8DF0-00A024E9CD0E}" maximized="1" xWindow="2" yWindow="2" windowWidth="636" windowHeight="340" tabRatio="664" activeSheetId="9"/>
    <customWorkbookView name="HIDRO HR_CARGA (DISP_JUL)" guid="{745B3DDF-3381-11D2-8DF0-00A024E9CD0E}" maximized="1" xWindow="2" yWindow="2" windowWidth="636" windowHeight="340" tabRatio="664" activeSheetId="7"/>
    <customWorkbookView name="HIDRO HR_CARGA (DISP_JUN)" guid="{745B3DE0-3381-11D2-8DF0-00A024E9CD0E}" maximized="1" xWindow="2" yWindow="2" windowWidth="636" windowHeight="340" tabRatio="664" activeSheetId="6"/>
    <customWorkbookView name="HIDRO HRS (acum.)" guid="{745B3DE1-3381-11D2-8DF0-00A024E9CD0E}" maximized="1" xWindow="2" windowWidth="634" windowHeight="340" tabRatio="664" activeSheetId="13"/>
    <customWorkbookView name="HIDRO HRS (CAP ANUAL)" guid="{745B3DE2-3381-11D2-8DF0-00A024E9CD0E}" maximized="1" xWindow="2" windowWidth="634" windowHeight="340" tabRatio="664" activeSheetId="15"/>
    <customWorkbookView name="HIDRO HRS (DISP_ABR)" guid="{745B3DE3-3381-11D2-8DF0-00A024E9CD0E}" maximized="1" xWindow="2" windowWidth="634" windowHeight="340" tabRatio="664" activeSheetId="4"/>
    <customWorkbookView name="HIDRO HRS (DISP_AGO)" guid="{745B3DE4-3381-11D2-8DF0-00A024E9CD0E}" maximized="1" xWindow="2" windowWidth="634" windowHeight="340" tabRatio="664" activeSheetId="8"/>
    <customWorkbookView name="HIDRO HRS (DISP_DIC)" guid="{745B3DE5-3381-11D2-8DF0-00A024E9CD0E}" maximized="1" xWindow="2" windowWidth="634" windowHeight="340" tabRatio="664" activeSheetId="12"/>
    <customWorkbookView name="HIDRO HRS (DISP_ENE)" guid="{745B3DE6-3381-11D2-8DF0-00A024E9CD0E}" maximized="1" xWindow="2" windowWidth="634" windowHeight="340" tabRatio="664" activeSheetId="1"/>
    <customWorkbookView name="HIDRO HRS (DISP_FEB)" guid="{745B3DE7-3381-11D2-8DF0-00A024E9CD0E}" maximized="1" xWindow="2" windowWidth="634" windowHeight="340" tabRatio="664" activeSheetId="2"/>
    <customWorkbookView name="HIDRO HRS (DISP_JUL)" guid="{745B3DE8-3381-11D2-8DF0-00A024E9CD0E}" maximized="1" xWindow="2" windowWidth="634" windowHeight="340" tabRatio="664" activeSheetId="7"/>
    <customWorkbookView name="HIDRO HRS (DISP_JUN)" guid="{745B3DE9-3381-11D2-8DF0-00A024E9CD0E}" maximized="1" xWindow="2" windowWidth="634" windowHeight="340" tabRatio="664" activeSheetId="6"/>
    <customWorkbookView name="HIDRO HRS (DISP_MAR)" guid="{745B3DEA-3381-11D2-8DF0-00A024E9CD0E}" maximized="1" xWindow="2" windowWidth="634" windowHeight="340" tabRatio="664" activeSheetId="3"/>
    <customWorkbookView name="HIDRO HRS (DISP_MAY)" guid="{745B3DEB-3381-11D2-8DF0-00A024E9CD0E}" maximized="1" xWindow="2" windowWidth="634" windowHeight="340" tabRatio="664" activeSheetId="5"/>
    <customWorkbookView name="HIDRO HRS (DISP_NOV)" guid="{745B3DEC-3381-11D2-8DF0-00A024E9CD0E}" maximized="1" xWindow="2" windowWidth="634" windowHeight="340" tabRatio="664" activeSheetId="11"/>
    <customWorkbookView name="HIDRO HRS (DISP_OCT)" guid="{745B3DED-3381-11D2-8DF0-00A024E9CD0E}" maximized="1" xWindow="2" windowWidth="634" windowHeight="340" tabRatio="664" activeSheetId="10"/>
    <customWorkbookView name="HIDRO HRS (DISP_SEP)" guid="{745B3DEE-3381-11D2-8DF0-00A024E9CD0E}" maximized="1" xWindow="2" windowWidth="634" windowHeight="340" tabRatio="664" activeSheetId="9"/>
    <customWorkbookView name="HIDRO HRS_CARGA (DISP_ABR)" guid="{745B3DEF-3381-11D2-8DF0-00A024E9CD0E}" maximized="1" xWindow="2" yWindow="2" windowWidth="636" windowHeight="340" tabRatio="664" activeSheetId="4"/>
    <customWorkbookView name="HIDRO HRS_CARGA (DISP_ENE)" guid="{745B3DF0-3381-11D2-8DF0-00A024E9CD0E}" maximized="1" xWindow="2" yWindow="2" windowWidth="636" windowHeight="340" tabRatio="664" activeSheetId="1"/>
    <customWorkbookView name="HIDRO HRS_CARGA (DISP_FEB)" guid="{745B3DF1-3381-11D2-8DF0-00A024E9CD0E}" maximized="1" xWindow="2" yWindow="2" windowWidth="636" windowHeight="340" tabRatio="664" activeSheetId="2"/>
    <customWorkbookView name="HIDRO HRS_CARGA (DISP_MAR)" guid="{745B3DF2-3381-11D2-8DF0-00A024E9CD0E}" maximized="1" xWindow="2" yWindow="2" windowWidth="636" windowHeight="340" tabRatio="664" activeSheetId="3"/>
    <customWorkbookView name="HIDRO HRS_CARGA (DISP_MAY)" guid="{745B3DF3-3381-11D2-8DF0-00A024E9CD0E}" maximized="1" xWindow="2" yWindow="2" windowWidth="636" windowHeight="340" tabRatio="664" activeSheetId="5"/>
    <customWorkbookView name="METAS 3DE4 (acum.)" guid="{745B3DF4-3381-11D2-8DF0-00A024E9CD0E}" maximized="1" xWindow="2" yWindow="2" windowWidth="636" windowHeight="340" tabRatio="664" activeSheetId="13"/>
    <customWorkbookView name="METAS 3DE4 (CAP ANUAL)" guid="{745B3DF5-3381-11D2-8DF0-00A024E9CD0E}" maximized="1" xWindow="2" yWindow="2" windowWidth="636" windowHeight="340" tabRatio="664" activeSheetId="15"/>
    <customWorkbookView name="METAS 4DE4 (acum.)" guid="{745B3DF6-3381-11D2-8DF0-00A024E9CD0E}" maximized="1" xWindow="2" yWindow="2" windowWidth="636" windowHeight="340" tabRatio="664" activeSheetId="13"/>
    <customWorkbookView name="METAS 4DE4 (CAP ANUAL)" guid="{745B3DF7-3381-11D2-8DF0-00A024E9CD0E}" maximized="1" xWindow="2" yWindow="2" windowWidth="636" windowHeight="340" tabRatio="664" activeSheetId="15"/>
    <customWorkbookView name="METAS_2DE4 (acum.)" guid="{745B3DF8-3381-11D2-8DF0-00A024E9CD0E}" maximized="1" xWindow="2" yWindow="2" windowWidth="636" windowHeight="340" tabRatio="664" activeSheetId="13"/>
    <customWorkbookView name="METAS_2DE4 (CAP ANUAL)" guid="{745B3DF9-3381-11D2-8DF0-00A024E9CD0E}" maximized="1" xWindow="2" yWindow="2" windowWidth="636" windowHeight="340" tabRatio="664" activeSheetId="15"/>
    <customWorkbookView name="T AGS HRS_ CARGA (DISP_ABR)" guid="{745B3DFA-3381-11D2-8DF0-00A024E9CD0E}" maximized="1" xWindow="2" yWindow="2" windowWidth="636" windowHeight="340" tabRatio="664" activeSheetId="4"/>
    <customWorkbookView name="T GAS DISP (acum.)" guid="{745B3DFB-3381-11D2-8DF0-00A024E9CD0E}" maximized="1" xWindow="2" windowWidth="634" windowHeight="340" tabRatio="664" activeSheetId="13"/>
    <customWorkbookView name="T GAS DISP (CAP ANUAL)" guid="{745B3DFC-3381-11D2-8DF0-00A024E9CD0E}" maximized="1" xWindow="2" windowWidth="634" windowHeight="340" tabRatio="664" activeSheetId="15"/>
    <customWorkbookView name="T GAS DISP (DISP_ABR)" guid="{745B3DFD-3381-11D2-8DF0-00A024E9CD0E}" maximized="1" xWindow="2" windowWidth="634" windowHeight="340" tabRatio="664" activeSheetId="4"/>
    <customWorkbookView name="T GAS DISP (DISP_AGO)" guid="{745B3DFE-3381-11D2-8DF0-00A024E9CD0E}" maximized="1" xWindow="2" windowWidth="634" windowHeight="340" tabRatio="664" activeSheetId="8"/>
    <customWorkbookView name="T GAS DISP (DISP_DIC)" guid="{745B3DFF-3381-11D2-8DF0-00A024E9CD0E}" maximized="1" xWindow="2" windowWidth="634" windowHeight="340" tabRatio="664" activeSheetId="12"/>
    <customWorkbookView name="T GAS DISP (DISP_ENE)" guid="{745B3E00-3381-11D2-8DF0-00A024E9CD0E}" maximized="1" xWindow="2" windowWidth="634" windowHeight="340" tabRatio="664" activeSheetId="1"/>
    <customWorkbookView name="T GAS DISP (DISP_FEB)" guid="{745B3E01-3381-11D2-8DF0-00A024E9CD0E}" maximized="1" xWindow="2" windowWidth="634" windowHeight="340" tabRatio="664" activeSheetId="2"/>
    <customWorkbookView name="T GAS DISP (DISP_JUL)" guid="{745B3E02-3381-11D2-8DF0-00A024E9CD0E}" maximized="1" xWindow="2" yWindow="2" windowWidth="599" windowHeight="309" tabRatio="664" activeSheetId="7"/>
    <customWorkbookView name="T GAS DISP (DISP_JUN)" guid="{745B3E03-3381-11D2-8DF0-00A024E9CD0E}" maximized="1" xWindow="2" windowWidth="634" windowHeight="340" tabRatio="664" activeSheetId="6"/>
    <customWorkbookView name="T GAS DISP (DISP_MAR)" guid="{745B3E04-3381-11D2-8DF0-00A024E9CD0E}" maximized="1" xWindow="2" windowWidth="634" windowHeight="340" tabRatio="664" activeSheetId="3"/>
    <customWorkbookView name="T GAS DISP (DISP_MAY)" guid="{745B3E05-3381-11D2-8DF0-00A024E9CD0E}" maximized="1" xWindow="2" windowWidth="634" windowHeight="340" tabRatio="664" activeSheetId="5"/>
    <customWorkbookView name="T GAS DISP (DISP_NOV)" guid="{745B3E06-3381-11D2-8DF0-00A024E9CD0E}" maximized="1" xWindow="2" windowWidth="634" windowHeight="340" tabRatio="664" activeSheetId="11"/>
    <customWorkbookView name="T GAS DISP (DISP_OCT)" guid="{745B3E07-3381-11D2-8DF0-00A024E9CD0E}" maximized="1" xWindow="2" windowWidth="634" windowHeight="340" tabRatio="664" activeSheetId="10"/>
    <customWorkbookView name="T GAS DISP (DISP_SEP)" guid="{745B3E08-3381-11D2-8DF0-00A024E9CD0E}" maximized="1" xWindow="2" windowWidth="634" windowHeight="340" tabRatio="664" activeSheetId="9"/>
    <customWorkbookView name="T GAS HR CARGA (DISP_AGO)" guid="{745B3E09-3381-11D2-8DF0-00A024E9CD0E}" maximized="1" xWindow="2" yWindow="2" windowWidth="636" windowHeight="340" tabRatio="664" activeSheetId="8"/>
    <customWorkbookView name="T GAS HR CARGA (DISP_DIC)" guid="{745B3E0A-3381-11D2-8DF0-00A024E9CD0E}" maximized="1" xWindow="2" yWindow="2" windowWidth="636" windowHeight="340" tabRatio="664" activeSheetId="12"/>
    <customWorkbookView name="T GAS HR CARGA (DISP_NOV)" guid="{745B3E0B-3381-11D2-8DF0-00A024E9CD0E}" maximized="1" xWindow="2" yWindow="2" windowWidth="636" windowHeight="340" tabRatio="664" activeSheetId="11"/>
    <customWorkbookView name="T GAS HR CARGA (DISP_OCT)" guid="{745B3E0C-3381-11D2-8DF0-00A024E9CD0E}" maximized="1" xWindow="2" yWindow="2" windowWidth="636" windowHeight="340" tabRatio="664" activeSheetId="10"/>
    <customWorkbookView name="T GAS HR CARGA (DISP_SEP)" guid="{745B3E0D-3381-11D2-8DF0-00A024E9CD0E}" maximized="1" xWindow="2" yWindow="2" windowWidth="636" windowHeight="340" tabRatio="664" activeSheetId="9"/>
    <customWorkbookView name="T GAS HR_CARGA (DISP_JUL)" guid="{745B3E0E-3381-11D2-8DF0-00A024E9CD0E}" maximized="1" xWindow="2" yWindow="2" windowWidth="636" windowHeight="340" tabRatio="664" activeSheetId="7"/>
    <customWorkbookView name="T GAS HR_CARGA (DISP_JUN)" guid="{745B3E0F-3381-11D2-8DF0-00A024E9CD0E}" maximized="1" xWindow="2" yWindow="2" windowWidth="636" windowHeight="340" tabRatio="664" activeSheetId="6"/>
    <customWorkbookView name="T GAS HRS (acum.)" guid="{745B3E10-3381-11D2-8DF0-00A024E9CD0E}" maximized="1" xWindow="2" windowWidth="634" windowHeight="340" tabRatio="664" activeSheetId="13"/>
    <customWorkbookView name="T GAS HRS (CAP ANUAL)" guid="{745B3E11-3381-11D2-8DF0-00A024E9CD0E}" maximized="1" xWindow="2" windowWidth="634" windowHeight="340" tabRatio="664" activeSheetId="15"/>
    <customWorkbookView name="T GAS HRS (DISP_ABR)" guid="{745B3E12-3381-11D2-8DF0-00A024E9CD0E}" maximized="1" xWindow="2" windowWidth="634" windowHeight="340" tabRatio="664" activeSheetId="4"/>
    <customWorkbookView name="T GAS HRS (DISP_AGO)" guid="{745B3E13-3381-11D2-8DF0-00A024E9CD0E}" maximized="1" xWindow="2" windowWidth="634" windowHeight="340" tabRatio="664" activeSheetId="8"/>
    <customWorkbookView name="T GAS HRS (DISP_DIC)" guid="{745B3E14-3381-11D2-8DF0-00A024E9CD0E}" maximized="1" xWindow="2" windowWidth="634" windowHeight="340" tabRatio="664" activeSheetId="12"/>
    <customWorkbookView name="T GAS HRS (DISP_ENE)" guid="{745B3E15-3381-11D2-8DF0-00A024E9CD0E}" maximized="1" xWindow="2" windowWidth="634" windowHeight="340" tabRatio="664" activeSheetId="1"/>
    <customWorkbookView name="T GAS HRS (DISP_FEB)" guid="{745B3E16-3381-11D2-8DF0-00A024E9CD0E}" maximized="1" xWindow="2" windowWidth="634" windowHeight="340" tabRatio="664" activeSheetId="2"/>
    <customWorkbookView name="T GAS HRS (DISP_JUL)" guid="{745B3E17-3381-11D2-8DF0-00A024E9CD0E}" maximized="1" xWindow="2" windowWidth="634" windowHeight="340" tabRatio="664" activeSheetId="7"/>
    <customWorkbookView name="T GAS HRS (DISP_JUN)" guid="{745B3E18-3381-11D2-8DF0-00A024E9CD0E}" maximized="1" xWindow="2" windowWidth="634" windowHeight="340" tabRatio="664" activeSheetId="6"/>
    <customWorkbookView name="T GAS HRS (DISP_MAR)" guid="{745B3E19-3381-11D2-8DF0-00A024E9CD0E}" maximized="1" xWindow="2" windowWidth="634" windowHeight="340" tabRatio="664" activeSheetId="3"/>
    <customWorkbookView name="T GAS HRS (DISP_MAY)" guid="{745B3E1A-3381-11D2-8DF0-00A024E9CD0E}" maximized="1" xWindow="2" windowWidth="634" windowHeight="340" tabRatio="664" activeSheetId="5"/>
    <customWorkbookView name="T GAS HRS (DISP_NOV)" guid="{745B3E1B-3381-11D2-8DF0-00A024E9CD0E}" maximized="1" xWindow="2" windowWidth="634" windowHeight="340" tabRatio="664" activeSheetId="11"/>
    <customWorkbookView name="T GAS HRS (DISP_OCT)" guid="{745B3E1C-3381-11D2-8DF0-00A024E9CD0E}" maximized="1" xWindow="2" windowWidth="634" windowHeight="340" tabRatio="664" activeSheetId="10"/>
    <customWorkbookView name="T GAS HRS (DISP_SEP)" guid="{745B3E1D-3381-11D2-8DF0-00A024E9CD0E}" maximized="1" xWindow="2" windowWidth="634" windowHeight="340" tabRatio="664" activeSheetId="9"/>
    <customWorkbookView name="T GAS HRS_CARGA (DISP_ENE)" guid="{745B3E1E-3381-11D2-8DF0-00A024E9CD0E}" maximized="1" xWindow="2" yWindow="2" windowWidth="636" windowHeight="340" tabRatio="664" activeSheetId="1"/>
    <customWorkbookView name="T GAS HRS_CARGA (DISP_FEB)" guid="{745B3E1F-3381-11D2-8DF0-00A024E9CD0E}" maximized="1" xWindow="2" yWindow="2" windowWidth="636" windowHeight="340" tabRatio="664" activeSheetId="2"/>
    <customWorkbookView name="T GAS HRS_CARGA (DISP_MAR)" guid="{745B3E20-3381-11D2-8DF0-00A024E9CD0E}" maximized="1" xWindow="2" yWindow="2" windowWidth="636" windowHeight="340" tabRatio="664" activeSheetId="3"/>
    <customWorkbookView name="T GAS HRS_CARGA (DISP_MAY)" guid="{745B3E21-3381-11D2-8DF0-00A024E9CD0E}" maximized="1" xWindow="2" yWindow="2" windowWidth="636" windowHeight="340" tabRatio="664" activeSheetId="5"/>
    <customWorkbookView name="VAPOR DISP (acum.)" guid="{745B3E22-3381-11D2-8DF0-00A024E9CD0E}" maximized="1" xWindow="2" windowWidth="634" windowHeight="340" tabRatio="664" activeSheetId="13"/>
    <customWorkbookView name="VAPOR DISP (CAP ANUAL)" guid="{745B3E23-3381-11D2-8DF0-00A024E9CD0E}" maximized="1" xWindow="2" windowWidth="634" windowHeight="340" tabRatio="664" activeSheetId="15"/>
    <customWorkbookView name="VAPOR DISP (DISP_ABR)" guid="{745B3E24-3381-11D2-8DF0-00A024E9CD0E}" maximized="1" xWindow="2" windowWidth="634" windowHeight="340" tabRatio="664" activeSheetId="4"/>
    <customWorkbookView name="VAPOR DISP (DISP_AGO)" guid="{745B3E25-3381-11D2-8DF0-00A024E9CD0E}" maximized="1" xWindow="2" windowWidth="634" windowHeight="340" tabRatio="664" activeSheetId="8"/>
    <customWorkbookView name="VAPOR DISP (DISP_DIC)" guid="{745B3E26-3381-11D2-8DF0-00A024E9CD0E}" maximized="1" xWindow="2" windowWidth="634" windowHeight="340" tabRatio="664" activeSheetId="12"/>
    <customWorkbookView name="VAPOR DISP (DISP_ENE)" guid="{745B3E27-3381-11D2-8DF0-00A024E9CD0E}" maximized="1" xWindow="2" windowWidth="634" windowHeight="340" tabRatio="664" activeSheetId="1"/>
    <customWorkbookView name="VAPOR DISP (DISP_FEB)" guid="{745B3E28-3381-11D2-8DF0-00A024E9CD0E}" maximized="1" xWindow="2" windowWidth="634" windowHeight="340" tabRatio="664" activeSheetId="2"/>
    <customWorkbookView name="VAPOR DISP (DISP_JUL)" guid="{745B3E29-3381-11D2-8DF0-00A024E9CD0E}" maximized="1" xWindow="2" yWindow="2" windowWidth="599" windowHeight="309" tabRatio="664" activeSheetId="7"/>
    <customWorkbookView name="VAPOR DISP (DISP_JUN)" guid="{745B3E2A-3381-11D2-8DF0-00A024E9CD0E}" maximized="1" xWindow="2" windowWidth="634" windowHeight="340" tabRatio="664" activeSheetId="6"/>
    <customWorkbookView name="VAPOR DISP (DISP_MAR)" guid="{745B3E2B-3381-11D2-8DF0-00A024E9CD0E}" maximized="1" xWindow="2" windowWidth="634" windowHeight="340" tabRatio="664" activeSheetId="3"/>
    <customWorkbookView name="VAPOR DISP (DISP_MAY)" guid="{745B3E2C-3381-11D2-8DF0-00A024E9CD0E}" maximized="1" xWindow="2" windowWidth="634" windowHeight="340" tabRatio="664" activeSheetId="5"/>
    <customWorkbookView name="VAPOR DISP (DISP_NOV)" guid="{745B3E2D-3381-11D2-8DF0-00A024E9CD0E}" maximized="1" xWindow="2" windowWidth="634" windowHeight="340" tabRatio="664" activeSheetId="11"/>
    <customWorkbookView name="VAPOR DISP (DISP_OCT)" guid="{745B3E2E-3381-11D2-8DF0-00A024E9CD0E}" maximized="1" xWindow="2" windowWidth="634" windowHeight="340" tabRatio="664" activeSheetId="10"/>
    <customWorkbookView name="VAPOR DISP (DISP_SEP)" guid="{745B3E2F-3381-11D2-8DF0-00A024E9CD0E}" maximized="1" xWindow="2" windowWidth="634" windowHeight="340" tabRatio="664" activeSheetId="9"/>
    <customWorkbookView name="VAPOR HR CARGA (DISP_DIC)" guid="{745B3E30-3381-11D2-8DF0-00A024E9CD0E}" maximized="1" xWindow="2" yWindow="2" windowWidth="636" windowHeight="340" tabRatio="664" activeSheetId="12"/>
    <customWorkbookView name="VAPOR HR CARGA (DISP_NOV)" guid="{745B3E31-3381-11D2-8DF0-00A024E9CD0E}" maximized="1" xWindow="2" yWindow="2" windowWidth="636" windowHeight="340" tabRatio="664" activeSheetId="11"/>
    <customWorkbookView name="VAPOR HR CARGA (DISP_OCT)" guid="{745B3E32-3381-11D2-8DF0-00A024E9CD0E}" maximized="1" xWindow="2" yWindow="2" windowWidth="636" windowHeight="340" tabRatio="664" activeSheetId="10"/>
    <customWorkbookView name="VAPOR HR CARGA (DISP_SEP)" guid="{745B3E33-3381-11D2-8DF0-00A024E9CD0E}" maximized="1" xWindow="2" yWindow="2" windowWidth="636" windowHeight="340" tabRatio="664" activeSheetId="9"/>
    <customWorkbookView name="VAPOR HR_CARGA (DISP_AGO)" guid="{745B3E34-3381-11D2-8DF0-00A024E9CD0E}" maximized="1" xWindow="2" yWindow="2" windowWidth="636" windowHeight="340" tabRatio="664" activeSheetId="8"/>
    <customWorkbookView name="VAPOR HR_CARGA (DISP_JUL)" guid="{745B3E35-3381-11D2-8DF0-00A024E9CD0E}" maximized="1" xWindow="2" yWindow="2" windowWidth="636" windowHeight="340" tabRatio="664" activeSheetId="7"/>
    <customWorkbookView name="VAPOR HR_CARGA (DISP_JUN)" guid="{745B3E36-3381-11D2-8DF0-00A024E9CD0E}" maximized="1" xWindow="2" yWindow="2" windowWidth="636" windowHeight="340" tabRatio="664" activeSheetId="6"/>
    <customWorkbookView name="VAPOR HRS (acum.)" guid="{745B3E37-3381-11D2-8DF0-00A024E9CD0E}" maximized="1" xWindow="2" windowWidth="634" windowHeight="340" tabRatio="664" activeSheetId="13"/>
    <customWorkbookView name="VAPOR HRS (CAP ANUAL)" guid="{745B3E38-3381-11D2-8DF0-00A024E9CD0E}" maximized="1" xWindow="2" windowWidth="634" windowHeight="340" tabRatio="664" activeSheetId="15"/>
    <customWorkbookView name="VAPOR HRS (DISP_ABR)" guid="{745B3E39-3381-11D2-8DF0-00A024E9CD0E}" maximized="1" xWindow="2" windowWidth="634" windowHeight="340" tabRatio="664" activeSheetId="4"/>
    <customWorkbookView name="VAPOR HRS (DISP_AGO)" guid="{745B3E3A-3381-11D2-8DF0-00A024E9CD0E}" maximized="1" xWindow="2" windowWidth="634" windowHeight="340" tabRatio="664" activeSheetId="8"/>
    <customWorkbookView name="VAPOR HRS (DISP_DIC)" guid="{745B3E3B-3381-11D2-8DF0-00A024E9CD0E}" maximized="1" xWindow="2" windowWidth="634" windowHeight="340" tabRatio="664" activeSheetId="12"/>
    <customWorkbookView name="VAPOR HRS (DISP_ENE)" guid="{745B3E3C-3381-11D2-8DF0-00A024E9CD0E}" maximized="1" xWindow="2" windowWidth="634" windowHeight="340" tabRatio="664" activeSheetId="1"/>
    <customWorkbookView name="VAPOR HRS (DISP_FEB)" guid="{745B3E3D-3381-11D2-8DF0-00A024E9CD0E}" maximized="1" xWindow="2" windowWidth="634" windowHeight="340" tabRatio="664" activeSheetId="2"/>
    <customWorkbookView name="VAPOR HRS (DISP_JUL)" guid="{745B3E3E-3381-11D2-8DF0-00A024E9CD0E}" maximized="1" xWindow="2" windowWidth="634" windowHeight="340" tabRatio="664" activeSheetId="7"/>
    <customWorkbookView name="VAPOR HRS (DISP_JUN)" guid="{745B3E3F-3381-11D2-8DF0-00A024E9CD0E}" maximized="1" xWindow="2" windowWidth="634" windowHeight="340" tabRatio="664" activeSheetId="6"/>
    <customWorkbookView name="VAPOR HRS (DISP_MAR)" guid="{745B3E40-3381-11D2-8DF0-00A024E9CD0E}" maximized="1" xWindow="2" windowWidth="634" windowHeight="340" tabRatio="664" activeSheetId="3"/>
    <customWorkbookView name="VAPOR HRS (DISP_MAY)" guid="{745B3E41-3381-11D2-8DF0-00A024E9CD0E}" maximized="1" xWindow="2" windowWidth="634" windowHeight="340" tabRatio="664" activeSheetId="5"/>
    <customWorkbookView name="VAPOR HRS (DISP_NOV)" guid="{745B3E42-3381-11D2-8DF0-00A024E9CD0E}" maximized="1" xWindow="2" windowWidth="634" windowHeight="340" tabRatio="664" activeSheetId="11"/>
    <customWorkbookView name="VAPOR HRS (DISP_OCT)" guid="{745B3E43-3381-11D2-8DF0-00A024E9CD0E}" maximized="1" xWindow="2" windowWidth="634" windowHeight="340" tabRatio="664" activeSheetId="10"/>
    <customWorkbookView name="VAPOR HRS (DISP_SEP)" guid="{745B3E44-3381-11D2-8DF0-00A024E9CD0E}" maximized="1" xWindow="2" windowWidth="634" windowHeight="340" tabRatio="664" activeSheetId="9"/>
    <customWorkbookView name="VAPOR HRS_CARGA (DISP_ABR)" guid="{745B3E45-3381-11D2-8DF0-00A024E9CD0E}" maximized="1" xWindow="2" yWindow="2" windowWidth="636" windowHeight="340" tabRatio="664" activeSheetId="4"/>
    <customWorkbookView name="VAPOR HRS_CARGA (DISP_ENE)" guid="{745B3E46-3381-11D2-8DF0-00A024E9CD0E}" maximized="1" xWindow="2" yWindow="2" windowWidth="636" windowHeight="340" tabRatio="664" activeSheetId="1"/>
    <customWorkbookView name="VAPOR HRS_CARGA (DISP_FEB)" guid="{745B3E47-3381-11D2-8DF0-00A024E9CD0E}" maximized="1" xWindow="2" yWindow="2" windowWidth="636" windowHeight="340" tabRatio="664" activeSheetId="2"/>
    <customWorkbookView name="VAPOR HRS_CARGA (DISP_MAR)" guid="{745B3E48-3381-11D2-8DF0-00A024E9CD0E}" maximized="1" xWindow="2" yWindow="2" windowWidth="636" windowHeight="340" tabRatio="664" activeSheetId="3"/>
    <customWorkbookView name="VAPOR HRS_CARGA (DISP_MAY)" guid="{745B3E49-3381-11D2-8DF0-00A024E9CD0E}" maximized="1" xWindow="2" yWindow="2" windowWidth="636" windowHeight="340" tabRatio="664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0" i="1" l="1"/>
  <c r="R79" i="1"/>
  <c r="R77" i="1"/>
  <c r="R76" i="1"/>
  <c r="R74" i="1"/>
  <c r="R73" i="1"/>
  <c r="R71" i="1"/>
  <c r="R70" i="1"/>
  <c r="R65" i="1"/>
  <c r="R64" i="1"/>
  <c r="R62" i="1"/>
  <c r="R61" i="1"/>
  <c r="R60" i="1"/>
  <c r="R112" i="1" l="1"/>
  <c r="L119" i="1"/>
  <c r="Y36" i="1"/>
  <c r="L90" i="1"/>
  <c r="L81" i="1"/>
  <c r="L21" i="1"/>
  <c r="L13" i="1"/>
  <c r="M80" i="1"/>
  <c r="M79" i="1"/>
  <c r="M77" i="1"/>
  <c r="M76" i="1"/>
  <c r="M74" i="1"/>
  <c r="M73" i="1"/>
  <c r="M71" i="1"/>
  <c r="M70" i="1"/>
  <c r="M68" i="1"/>
  <c r="M67" i="1"/>
  <c r="D80" i="1"/>
  <c r="D79" i="1"/>
  <c r="D76" i="1"/>
  <c r="D68" i="1"/>
  <c r="D67" i="1"/>
  <c r="E13" i="1"/>
  <c r="E27" i="1" s="1"/>
  <c r="E50" i="1" s="1"/>
  <c r="F13" i="1"/>
  <c r="F27" i="1" s="1"/>
  <c r="F50" i="1" s="1"/>
  <c r="G13" i="1"/>
  <c r="H13" i="1"/>
  <c r="J13" i="1"/>
  <c r="I41" i="1"/>
  <c r="K81" i="1"/>
  <c r="J81" i="1"/>
  <c r="I81" i="1"/>
  <c r="H81" i="1"/>
  <c r="G81" i="1"/>
  <c r="F81" i="1"/>
  <c r="E81" i="1"/>
  <c r="E65" i="1"/>
  <c r="J65" i="1" s="1"/>
  <c r="E64" i="1"/>
  <c r="E62" i="1"/>
  <c r="M62" i="1" s="1"/>
  <c r="H156" i="1"/>
  <c r="G156" i="1"/>
  <c r="F156" i="1"/>
  <c r="E156" i="1"/>
  <c r="D156" i="1"/>
  <c r="C151" i="1"/>
  <c r="J47" i="1"/>
  <c r="E47" i="1"/>
  <c r="E48" i="1" s="1"/>
  <c r="F47" i="1"/>
  <c r="F48" i="1" s="1"/>
  <c r="F41" i="1"/>
  <c r="G47" i="1"/>
  <c r="H47" i="1"/>
  <c r="I47" i="1"/>
  <c r="E41" i="1"/>
  <c r="H41" i="1"/>
  <c r="G41" i="1"/>
  <c r="D23" i="1"/>
  <c r="M23" i="1" s="1"/>
  <c r="AA7" i="1"/>
  <c r="AA13" i="1" s="1"/>
  <c r="AA8" i="1"/>
  <c r="AA9" i="1"/>
  <c r="AA10" i="1"/>
  <c r="AA11" i="1"/>
  <c r="AA12" i="1"/>
  <c r="Z13" i="1"/>
  <c r="AA15" i="1"/>
  <c r="AA16" i="1"/>
  <c r="Z17" i="1"/>
  <c r="AA19" i="1"/>
  <c r="AA20" i="1"/>
  <c r="Z21" i="1"/>
  <c r="V21" i="1" s="1"/>
  <c r="AA23" i="1"/>
  <c r="AA25" i="1" s="1"/>
  <c r="AA24" i="1"/>
  <c r="Z25" i="1"/>
  <c r="AA36" i="1"/>
  <c r="AA37" i="1"/>
  <c r="AA38" i="1"/>
  <c r="AA39" i="1"/>
  <c r="AA40" i="1"/>
  <c r="Z41" i="1"/>
  <c r="AA42" i="1"/>
  <c r="AA43" i="1"/>
  <c r="AA44" i="1"/>
  <c r="AA45" i="1"/>
  <c r="AA46" i="1"/>
  <c r="Z47" i="1"/>
  <c r="AA60" i="1"/>
  <c r="AA61" i="1"/>
  <c r="AA62" i="1"/>
  <c r="Z63" i="1"/>
  <c r="Z82" i="1" s="1"/>
  <c r="AA64" i="1"/>
  <c r="AA65" i="1"/>
  <c r="Z66" i="1"/>
  <c r="AA67" i="1"/>
  <c r="AA68" i="1"/>
  <c r="Z69" i="1"/>
  <c r="AA70" i="1"/>
  <c r="AA71" i="1"/>
  <c r="Z72" i="1"/>
  <c r="AA73" i="1"/>
  <c r="AA74" i="1"/>
  <c r="Z75" i="1"/>
  <c r="AA76" i="1"/>
  <c r="AA77" i="1"/>
  <c r="Z78" i="1"/>
  <c r="AA79" i="1"/>
  <c r="AA80" i="1"/>
  <c r="Z81" i="1"/>
  <c r="P81" i="1" s="1"/>
  <c r="AA87" i="1"/>
  <c r="AA88" i="1"/>
  <c r="AA89" i="1"/>
  <c r="Z90" i="1"/>
  <c r="AA91" i="1"/>
  <c r="AA92" i="1"/>
  <c r="AA104" i="1"/>
  <c r="AA105" i="1"/>
  <c r="AA106" i="1"/>
  <c r="Z107" i="1"/>
  <c r="AA111" i="1"/>
  <c r="AA112" i="1"/>
  <c r="AA113" i="1"/>
  <c r="AA114" i="1"/>
  <c r="AA115" i="1"/>
  <c r="AA116" i="1"/>
  <c r="AA117" i="1"/>
  <c r="AA118" i="1"/>
  <c r="Z119" i="1"/>
  <c r="AA127" i="1"/>
  <c r="AA128" i="1"/>
  <c r="AA129" i="1"/>
  <c r="Z130" i="1"/>
  <c r="AA141" i="1"/>
  <c r="AA142" i="1"/>
  <c r="AA143" i="1"/>
  <c r="AA144" i="1"/>
  <c r="AA145" i="1"/>
  <c r="AA146" i="1"/>
  <c r="AA147" i="1"/>
  <c r="AA148" i="1"/>
  <c r="AA149" i="1"/>
  <c r="AA150" i="1"/>
  <c r="Z151" i="1"/>
  <c r="AA152" i="1"/>
  <c r="AA156" i="1" s="1"/>
  <c r="AA153" i="1"/>
  <c r="AA154" i="1"/>
  <c r="AA155" i="1"/>
  <c r="Z156" i="1"/>
  <c r="L25" i="1"/>
  <c r="C43" i="1"/>
  <c r="P43" i="1"/>
  <c r="C44" i="1"/>
  <c r="Q44" i="1" s="1"/>
  <c r="C45" i="1"/>
  <c r="C46" i="1"/>
  <c r="C40" i="1"/>
  <c r="Q40" i="1" s="1"/>
  <c r="P40" i="1"/>
  <c r="D43" i="1"/>
  <c r="M43" i="1"/>
  <c r="D44" i="1"/>
  <c r="D45" i="1"/>
  <c r="S45" i="1"/>
  <c r="D46" i="1"/>
  <c r="M46" i="1" s="1"/>
  <c r="D42" i="1"/>
  <c r="C42" i="1"/>
  <c r="D36" i="1"/>
  <c r="M36" i="1"/>
  <c r="D37" i="1"/>
  <c r="M37" i="1" s="1"/>
  <c r="D40" i="1"/>
  <c r="M40" i="1" s="1"/>
  <c r="D38" i="1"/>
  <c r="M38" i="1"/>
  <c r="D39" i="1"/>
  <c r="E60" i="1"/>
  <c r="M60" i="1" s="1"/>
  <c r="E61" i="1"/>
  <c r="M61" i="1" s="1"/>
  <c r="D61" i="1"/>
  <c r="Q61" i="1" s="1"/>
  <c r="Q63" i="1" s="1"/>
  <c r="P61" i="1"/>
  <c r="P63" i="1" s="1"/>
  <c r="D60" i="1"/>
  <c r="P60" i="1"/>
  <c r="D62" i="1"/>
  <c r="C23" i="1"/>
  <c r="Q23" i="1"/>
  <c r="C15" i="1"/>
  <c r="Q15" i="1" s="1"/>
  <c r="C16" i="1"/>
  <c r="C37" i="1"/>
  <c r="P37" i="1"/>
  <c r="C38" i="1"/>
  <c r="P38" i="1" s="1"/>
  <c r="C39" i="1"/>
  <c r="P39" i="1"/>
  <c r="C36" i="1"/>
  <c r="P36" i="1" s="1"/>
  <c r="P41" i="1" s="1"/>
  <c r="P48" i="1" s="1"/>
  <c r="D111" i="1"/>
  <c r="S111" i="1"/>
  <c r="S119" i="1" s="1"/>
  <c r="D112" i="1"/>
  <c r="E111" i="1"/>
  <c r="E112" i="1"/>
  <c r="C112" i="1"/>
  <c r="P112" i="1"/>
  <c r="C113" i="1"/>
  <c r="Q113" i="1" s="1"/>
  <c r="C114" i="1"/>
  <c r="P114" i="1" s="1"/>
  <c r="C115" i="1"/>
  <c r="C117" i="1"/>
  <c r="Q117" i="1"/>
  <c r="C116" i="1"/>
  <c r="P116" i="1" s="1"/>
  <c r="E113" i="1"/>
  <c r="E114" i="1"/>
  <c r="D114" i="1"/>
  <c r="D119" i="1" s="1"/>
  <c r="S114" i="1"/>
  <c r="D113" i="1"/>
  <c r="S113" i="1"/>
  <c r="C128" i="1"/>
  <c r="P128" i="1" s="1"/>
  <c r="C129" i="1"/>
  <c r="P129" i="1"/>
  <c r="C127" i="1"/>
  <c r="P127" i="1" s="1"/>
  <c r="S79" i="1"/>
  <c r="R24" i="1"/>
  <c r="R23" i="1"/>
  <c r="R25" i="1" s="1"/>
  <c r="X19" i="1"/>
  <c r="X21" i="1" s="1"/>
  <c r="X20" i="1"/>
  <c r="U19" i="1"/>
  <c r="U20" i="1"/>
  <c r="V19" i="1"/>
  <c r="V20" i="1"/>
  <c r="W19" i="1"/>
  <c r="W20" i="1"/>
  <c r="D20" i="1"/>
  <c r="D19" i="1"/>
  <c r="S19" i="1" s="1"/>
  <c r="S21" i="1" s="1"/>
  <c r="D15" i="1"/>
  <c r="D17" i="1" s="1"/>
  <c r="M17" i="1" s="1"/>
  <c r="T15" i="1"/>
  <c r="C20" i="1"/>
  <c r="Q20" i="1"/>
  <c r="C19" i="1"/>
  <c r="X15" i="1"/>
  <c r="W15" i="1"/>
  <c r="W16" i="1"/>
  <c r="V15" i="1"/>
  <c r="V16" i="1"/>
  <c r="U15" i="1"/>
  <c r="U16" i="1"/>
  <c r="S15" i="1"/>
  <c r="S17" i="1" s="1"/>
  <c r="S16" i="1"/>
  <c r="R16" i="1"/>
  <c r="R15" i="1"/>
  <c r="W8" i="1"/>
  <c r="W9" i="1"/>
  <c r="W10" i="1"/>
  <c r="W11" i="1"/>
  <c r="W12" i="1"/>
  <c r="W7" i="1"/>
  <c r="D16" i="1"/>
  <c r="M16" i="1" s="1"/>
  <c r="R12" i="1"/>
  <c r="T12" i="1"/>
  <c r="R11" i="1"/>
  <c r="X11" i="1"/>
  <c r="R10" i="1"/>
  <c r="X10" i="1"/>
  <c r="R9" i="1"/>
  <c r="R8" i="1"/>
  <c r="X8" i="1"/>
  <c r="R7" i="1"/>
  <c r="R13" i="1" s="1"/>
  <c r="S8" i="1"/>
  <c r="S9" i="1"/>
  <c r="S10" i="1"/>
  <c r="S11" i="1"/>
  <c r="S12" i="1"/>
  <c r="S7" i="1"/>
  <c r="D8" i="1"/>
  <c r="C8" i="1" s="1"/>
  <c r="D9" i="1"/>
  <c r="C9" i="1" s="1"/>
  <c r="D10" i="1"/>
  <c r="M10" i="1" s="1"/>
  <c r="D11" i="1"/>
  <c r="M11" i="1"/>
  <c r="D12" i="1"/>
  <c r="M12" i="1" s="1"/>
  <c r="D7" i="1"/>
  <c r="P5" i="1"/>
  <c r="P139" i="1" s="1"/>
  <c r="U7" i="1"/>
  <c r="V7" i="1"/>
  <c r="V13" i="1" s="1"/>
  <c r="Y7" i="1"/>
  <c r="U8" i="1"/>
  <c r="U13" i="1" s="1"/>
  <c r="V8" i="1"/>
  <c r="Y8" i="1"/>
  <c r="U9" i="1"/>
  <c r="V9" i="1"/>
  <c r="Y9" i="1"/>
  <c r="U10" i="1"/>
  <c r="V10" i="1"/>
  <c r="Y10" i="1"/>
  <c r="U11" i="1"/>
  <c r="V11" i="1"/>
  <c r="Y11" i="1"/>
  <c r="U12" i="1"/>
  <c r="V12" i="1"/>
  <c r="Y12" i="1"/>
  <c r="Y15" i="1"/>
  <c r="Y16" i="1"/>
  <c r="E17" i="1"/>
  <c r="F17" i="1"/>
  <c r="G17" i="1"/>
  <c r="H17" i="1"/>
  <c r="J17" i="1"/>
  <c r="J27" i="1" s="1"/>
  <c r="J50" i="1" s="1"/>
  <c r="L17" i="1"/>
  <c r="Y19" i="1"/>
  <c r="Y21" i="1" s="1"/>
  <c r="Y20" i="1"/>
  <c r="E21" i="1"/>
  <c r="F21" i="1"/>
  <c r="G21" i="1"/>
  <c r="H21" i="1"/>
  <c r="I21" i="1"/>
  <c r="J21" i="1"/>
  <c r="U23" i="1"/>
  <c r="V23" i="1"/>
  <c r="W23" i="1"/>
  <c r="W25" i="1" s="1"/>
  <c r="X23" i="1"/>
  <c r="Y23" i="1"/>
  <c r="Y25" i="1" s="1"/>
  <c r="M24" i="1"/>
  <c r="S24" i="1"/>
  <c r="T24" i="1"/>
  <c r="U24" i="1"/>
  <c r="V24" i="1"/>
  <c r="W24" i="1"/>
  <c r="X24" i="1"/>
  <c r="Y24" i="1"/>
  <c r="D25" i="1"/>
  <c r="E25" i="1"/>
  <c r="F25" i="1"/>
  <c r="G25" i="1"/>
  <c r="G27" i="1" s="1"/>
  <c r="G50" i="1" s="1"/>
  <c r="H25" i="1"/>
  <c r="M25" i="1" s="1"/>
  <c r="I25" i="1"/>
  <c r="J25" i="1"/>
  <c r="C34" i="1"/>
  <c r="U36" i="1"/>
  <c r="V36" i="1"/>
  <c r="W36" i="1"/>
  <c r="R36" i="1"/>
  <c r="X37" i="1"/>
  <c r="U37" i="1"/>
  <c r="U41" i="1" s="1"/>
  <c r="U48" i="1" s="1"/>
  <c r="V37" i="1"/>
  <c r="W37" i="1"/>
  <c r="Y37" i="1"/>
  <c r="R37" i="1" s="1"/>
  <c r="X38" i="1"/>
  <c r="U38" i="1"/>
  <c r="V38" i="1"/>
  <c r="W38" i="1"/>
  <c r="Y38" i="1"/>
  <c r="R38" i="1" s="1"/>
  <c r="X39" i="1"/>
  <c r="U39" i="1"/>
  <c r="V39" i="1"/>
  <c r="W39" i="1"/>
  <c r="Y39" i="1"/>
  <c r="R39" i="1" s="1"/>
  <c r="U40" i="1"/>
  <c r="V40" i="1"/>
  <c r="W40" i="1"/>
  <c r="X40" i="1"/>
  <c r="Y40" i="1"/>
  <c r="R40" i="1" s="1"/>
  <c r="T36" i="1"/>
  <c r="J41" i="1"/>
  <c r="J48" i="1" s="1"/>
  <c r="L41" i="1"/>
  <c r="U42" i="1"/>
  <c r="U47" i="1" s="1"/>
  <c r="V42" i="1"/>
  <c r="V47" i="1" s="1"/>
  <c r="V48" i="1" s="1"/>
  <c r="W42" i="1"/>
  <c r="X42" i="1"/>
  <c r="Y42" i="1"/>
  <c r="R42" i="1" s="1"/>
  <c r="X43" i="1"/>
  <c r="U43" i="1"/>
  <c r="V43" i="1"/>
  <c r="W43" i="1"/>
  <c r="Y43" i="1"/>
  <c r="R43" i="1" s="1"/>
  <c r="T39" i="1"/>
  <c r="U44" i="1"/>
  <c r="V44" i="1"/>
  <c r="W44" i="1"/>
  <c r="X44" i="1"/>
  <c r="Y44" i="1"/>
  <c r="T40" i="1"/>
  <c r="X45" i="1"/>
  <c r="U45" i="1"/>
  <c r="V45" i="1"/>
  <c r="W45" i="1"/>
  <c r="Y45" i="1"/>
  <c r="R45" i="1"/>
  <c r="U46" i="1"/>
  <c r="V46" i="1"/>
  <c r="W46" i="1"/>
  <c r="X46" i="1"/>
  <c r="Y46" i="1"/>
  <c r="R46" i="1"/>
  <c r="T42" i="1"/>
  <c r="L47" i="1"/>
  <c r="T43" i="1"/>
  <c r="T45" i="1"/>
  <c r="T46" i="1"/>
  <c r="A58" i="1"/>
  <c r="N58" i="1" s="1"/>
  <c r="A139" i="1"/>
  <c r="P58" i="1"/>
  <c r="U60" i="1"/>
  <c r="V60" i="1"/>
  <c r="W60" i="1"/>
  <c r="Y60" i="1"/>
  <c r="U61" i="1"/>
  <c r="V61" i="1"/>
  <c r="W61" i="1"/>
  <c r="Y61" i="1"/>
  <c r="T61" i="1"/>
  <c r="U62" i="1"/>
  <c r="U63" i="1" s="1"/>
  <c r="V62" i="1"/>
  <c r="V63" i="1" s="1"/>
  <c r="W62" i="1"/>
  <c r="Y62" i="1"/>
  <c r="F63" i="1"/>
  <c r="G63" i="1"/>
  <c r="H63" i="1"/>
  <c r="I63" i="1"/>
  <c r="K63" i="1"/>
  <c r="L63" i="1"/>
  <c r="U64" i="1"/>
  <c r="V64" i="1"/>
  <c r="W64" i="1"/>
  <c r="W66" i="1" s="1"/>
  <c r="Y64" i="1"/>
  <c r="Y66" i="1" s="1"/>
  <c r="U65" i="1"/>
  <c r="V65" i="1"/>
  <c r="W65" i="1"/>
  <c r="Y65" i="1"/>
  <c r="T65" i="1"/>
  <c r="F66" i="1"/>
  <c r="G66" i="1"/>
  <c r="H66" i="1"/>
  <c r="I66" i="1"/>
  <c r="K66" i="1"/>
  <c r="L66" i="1"/>
  <c r="L82" i="1" s="1"/>
  <c r="J67" i="1"/>
  <c r="J69" i="1" s="1"/>
  <c r="S67" i="1"/>
  <c r="U67" i="1"/>
  <c r="V67" i="1"/>
  <c r="W67" i="1"/>
  <c r="Y67" i="1"/>
  <c r="R67" i="1"/>
  <c r="T67" i="1"/>
  <c r="J68" i="1"/>
  <c r="X68" i="1"/>
  <c r="S68" i="1"/>
  <c r="U68" i="1"/>
  <c r="U69" i="1" s="1"/>
  <c r="V68" i="1"/>
  <c r="V69" i="1" s="1"/>
  <c r="W68" i="1"/>
  <c r="Y68" i="1"/>
  <c r="R68" i="1" s="1"/>
  <c r="R69" i="1" s="1"/>
  <c r="T68" i="1"/>
  <c r="E69" i="1"/>
  <c r="F69" i="1"/>
  <c r="G69" i="1"/>
  <c r="H69" i="1"/>
  <c r="I69" i="1"/>
  <c r="M69" i="1" s="1"/>
  <c r="K69" i="1"/>
  <c r="L69" i="1"/>
  <c r="D70" i="1"/>
  <c r="P70" i="1" s="1"/>
  <c r="X70" i="1"/>
  <c r="S70" i="1"/>
  <c r="U70" i="1"/>
  <c r="V70" i="1"/>
  <c r="W70" i="1"/>
  <c r="W72" i="1" s="1"/>
  <c r="Y70" i="1"/>
  <c r="T70" i="1"/>
  <c r="D71" i="1"/>
  <c r="P71" i="1" s="1"/>
  <c r="S71" i="1"/>
  <c r="S72" i="1" s="1"/>
  <c r="U71" i="1"/>
  <c r="U72" i="1" s="1"/>
  <c r="V71" i="1"/>
  <c r="W71" i="1"/>
  <c r="Y71" i="1"/>
  <c r="E72" i="1"/>
  <c r="F72" i="1"/>
  <c r="G72" i="1"/>
  <c r="H72" i="1"/>
  <c r="I72" i="1"/>
  <c r="K72" i="1"/>
  <c r="L72" i="1"/>
  <c r="D73" i="1"/>
  <c r="Q73" i="1" s="1"/>
  <c r="Q75" i="1" s="1"/>
  <c r="P73" i="1"/>
  <c r="P75" i="1" s="1"/>
  <c r="J73" i="1"/>
  <c r="X73" i="1"/>
  <c r="S73" i="1"/>
  <c r="U73" i="1"/>
  <c r="V73" i="1"/>
  <c r="W73" i="1"/>
  <c r="Y73" i="1"/>
  <c r="T73" i="1"/>
  <c r="D74" i="1"/>
  <c r="Q74" i="1" s="1"/>
  <c r="J74" i="1"/>
  <c r="S74" i="1"/>
  <c r="U74" i="1"/>
  <c r="U75" i="1" s="1"/>
  <c r="V74" i="1"/>
  <c r="W74" i="1"/>
  <c r="Y74" i="1"/>
  <c r="T74" i="1"/>
  <c r="E75" i="1"/>
  <c r="F75" i="1"/>
  <c r="M75" i="1" s="1"/>
  <c r="G75" i="1"/>
  <c r="H75" i="1"/>
  <c r="I75" i="1"/>
  <c r="K75" i="1"/>
  <c r="L75" i="1"/>
  <c r="S76" i="1"/>
  <c r="S78" i="1" s="1"/>
  <c r="U76" i="1"/>
  <c r="V76" i="1"/>
  <c r="W76" i="1"/>
  <c r="Y76" i="1"/>
  <c r="T76" i="1"/>
  <c r="D77" i="1"/>
  <c r="P77" i="1" s="1"/>
  <c r="P78" i="1" s="1"/>
  <c r="S77" i="1"/>
  <c r="U77" i="1"/>
  <c r="U78" i="1" s="1"/>
  <c r="V77" i="1"/>
  <c r="W77" i="1"/>
  <c r="W78" i="1" s="1"/>
  <c r="X77" i="1"/>
  <c r="Y77" i="1"/>
  <c r="E78" i="1"/>
  <c r="F78" i="1"/>
  <c r="G78" i="1"/>
  <c r="H78" i="1"/>
  <c r="I78" i="1"/>
  <c r="M78" i="1" s="1"/>
  <c r="K78" i="1"/>
  <c r="L78" i="1"/>
  <c r="U79" i="1"/>
  <c r="V79" i="1"/>
  <c r="W79" i="1"/>
  <c r="W81" i="1" s="1"/>
  <c r="Y79" i="1"/>
  <c r="Y81" i="1" s="1"/>
  <c r="Y82" i="1" s="1"/>
  <c r="X80" i="1"/>
  <c r="S80" i="1"/>
  <c r="U80" i="1"/>
  <c r="V80" i="1"/>
  <c r="W80" i="1"/>
  <c r="Y80" i="1"/>
  <c r="Q87" i="1"/>
  <c r="M87" i="1"/>
  <c r="P87" i="1"/>
  <c r="P90" i="1" s="1"/>
  <c r="S87" i="1"/>
  <c r="S90" i="1" s="1"/>
  <c r="T87" i="1"/>
  <c r="T90" i="1" s="1"/>
  <c r="U87" i="1"/>
  <c r="V87" i="1"/>
  <c r="W87" i="1"/>
  <c r="X87" i="1"/>
  <c r="Y87" i="1"/>
  <c r="R87" i="1"/>
  <c r="M88" i="1"/>
  <c r="S88" i="1"/>
  <c r="T88" i="1"/>
  <c r="U88" i="1"/>
  <c r="V88" i="1"/>
  <c r="W88" i="1"/>
  <c r="W90" i="1" s="1"/>
  <c r="X88" i="1"/>
  <c r="X90" i="1" s="1"/>
  <c r="Y88" i="1"/>
  <c r="R88" i="1"/>
  <c r="Q89" i="1"/>
  <c r="M89" i="1"/>
  <c r="S89" i="1"/>
  <c r="T89" i="1"/>
  <c r="U89" i="1"/>
  <c r="V89" i="1"/>
  <c r="W89" i="1"/>
  <c r="X89" i="1"/>
  <c r="Y89" i="1"/>
  <c r="R89" i="1"/>
  <c r="R90" i="1" s="1"/>
  <c r="D90" i="1"/>
  <c r="E90" i="1"/>
  <c r="F90" i="1"/>
  <c r="G90" i="1"/>
  <c r="H90" i="1"/>
  <c r="I90" i="1"/>
  <c r="J90" i="1"/>
  <c r="Y90" i="1"/>
  <c r="M91" i="1"/>
  <c r="S91" i="1"/>
  <c r="T91" i="1"/>
  <c r="T93" i="1" s="1"/>
  <c r="U91" i="1"/>
  <c r="U93" i="1" s="1"/>
  <c r="V91" i="1"/>
  <c r="W91" i="1"/>
  <c r="W93" i="1" s="1"/>
  <c r="X91" i="1"/>
  <c r="Y91" i="1"/>
  <c r="R91" i="1"/>
  <c r="Q92" i="1"/>
  <c r="M92" i="1"/>
  <c r="S92" i="1"/>
  <c r="T92" i="1"/>
  <c r="U92" i="1"/>
  <c r="V92" i="1"/>
  <c r="V93" i="1" s="1"/>
  <c r="W92" i="1"/>
  <c r="X92" i="1"/>
  <c r="X93" i="1" s="1"/>
  <c r="Y92" i="1"/>
  <c r="R92" i="1"/>
  <c r="D93" i="1"/>
  <c r="M93" i="1" s="1"/>
  <c r="E93" i="1"/>
  <c r="F93" i="1"/>
  <c r="G93" i="1"/>
  <c r="H93" i="1"/>
  <c r="I93" i="1"/>
  <c r="J93" i="1"/>
  <c r="L93" i="1"/>
  <c r="P102" i="1"/>
  <c r="C104" i="1"/>
  <c r="Q104" i="1" s="1"/>
  <c r="M104" i="1"/>
  <c r="S104" i="1"/>
  <c r="U104" i="1"/>
  <c r="V104" i="1"/>
  <c r="W104" i="1"/>
  <c r="X104" i="1"/>
  <c r="Y104" i="1"/>
  <c r="T104" i="1"/>
  <c r="P105" i="1"/>
  <c r="M105" i="1"/>
  <c r="Q105" i="1"/>
  <c r="S105" i="1"/>
  <c r="U105" i="1"/>
  <c r="V105" i="1"/>
  <c r="W105" i="1"/>
  <c r="X105" i="1"/>
  <c r="Y105" i="1"/>
  <c r="R105" i="1" s="1"/>
  <c r="Q106" i="1"/>
  <c r="Q107" i="1" s="1"/>
  <c r="M106" i="1"/>
  <c r="S106" i="1"/>
  <c r="U106" i="1"/>
  <c r="V106" i="1"/>
  <c r="W106" i="1"/>
  <c r="X106" i="1"/>
  <c r="Y106" i="1"/>
  <c r="R106" i="1" s="1"/>
  <c r="D107" i="1"/>
  <c r="E107" i="1"/>
  <c r="F107" i="1"/>
  <c r="G107" i="1"/>
  <c r="H107" i="1"/>
  <c r="I107" i="1"/>
  <c r="J107" i="1"/>
  <c r="L107" i="1"/>
  <c r="Y107" i="1" s="1"/>
  <c r="P109" i="1"/>
  <c r="Q111" i="1"/>
  <c r="T111" i="1"/>
  <c r="T119" i="1" s="1"/>
  <c r="U111" i="1"/>
  <c r="U119" i="1" s="1"/>
  <c r="V111" i="1"/>
  <c r="V119" i="1" s="1"/>
  <c r="W111" i="1"/>
  <c r="X111" i="1"/>
  <c r="X119" i="1" s="1"/>
  <c r="Y111" i="1"/>
  <c r="R111" i="1" s="1"/>
  <c r="T112" i="1"/>
  <c r="U112" i="1"/>
  <c r="V112" i="1"/>
  <c r="W112" i="1"/>
  <c r="X112" i="1"/>
  <c r="Y112" i="1"/>
  <c r="T113" i="1"/>
  <c r="U113" i="1"/>
  <c r="V113" i="1"/>
  <c r="W113" i="1"/>
  <c r="X113" i="1"/>
  <c r="Y113" i="1"/>
  <c r="R113" i="1" s="1"/>
  <c r="T114" i="1"/>
  <c r="U114" i="1"/>
  <c r="V114" i="1"/>
  <c r="W114" i="1"/>
  <c r="X114" i="1"/>
  <c r="Y114" i="1"/>
  <c r="R114" i="1" s="1"/>
  <c r="M115" i="1"/>
  <c r="S115" i="1"/>
  <c r="T115" i="1"/>
  <c r="U115" i="1"/>
  <c r="V115" i="1"/>
  <c r="W115" i="1"/>
  <c r="W119" i="1" s="1"/>
  <c r="X115" i="1"/>
  <c r="Y115" i="1"/>
  <c r="R115" i="1" s="1"/>
  <c r="M116" i="1"/>
  <c r="S116" i="1"/>
  <c r="T116" i="1"/>
  <c r="U116" i="1"/>
  <c r="V116" i="1"/>
  <c r="W116" i="1"/>
  <c r="X116" i="1"/>
  <c r="Y116" i="1"/>
  <c r="R116" i="1" s="1"/>
  <c r="M117" i="1"/>
  <c r="S117" i="1"/>
  <c r="T117" i="1"/>
  <c r="U117" i="1"/>
  <c r="V117" i="1"/>
  <c r="W117" i="1"/>
  <c r="X117" i="1"/>
  <c r="Y117" i="1"/>
  <c r="R117" i="1" s="1"/>
  <c r="M118" i="1"/>
  <c r="S118" i="1"/>
  <c r="T118" i="1"/>
  <c r="U118" i="1"/>
  <c r="V118" i="1"/>
  <c r="W118" i="1"/>
  <c r="X118" i="1"/>
  <c r="Y118" i="1"/>
  <c r="R118" i="1" s="1"/>
  <c r="F119" i="1"/>
  <c r="G119" i="1"/>
  <c r="H119" i="1"/>
  <c r="I119" i="1"/>
  <c r="J119" i="1"/>
  <c r="P125" i="1"/>
  <c r="I127" i="1"/>
  <c r="Q127" i="1" s="1"/>
  <c r="Q130" i="1" s="1"/>
  <c r="M127" i="1"/>
  <c r="M130" i="1" s="1"/>
  <c r="S127" i="1"/>
  <c r="S130" i="1" s="1"/>
  <c r="U127" i="1"/>
  <c r="V127" i="1"/>
  <c r="W127" i="1"/>
  <c r="Y127" i="1"/>
  <c r="I128" i="1"/>
  <c r="T128" i="1"/>
  <c r="M128" i="1"/>
  <c r="S128" i="1"/>
  <c r="U128" i="1"/>
  <c r="V128" i="1"/>
  <c r="W128" i="1"/>
  <c r="Y128" i="1"/>
  <c r="Y130" i="1" s="1"/>
  <c r="I129" i="1"/>
  <c r="T129" i="1" s="1"/>
  <c r="M129" i="1"/>
  <c r="S129" i="1"/>
  <c r="U129" i="1"/>
  <c r="V129" i="1"/>
  <c r="W129" i="1"/>
  <c r="Y129" i="1"/>
  <c r="R129" i="1" s="1"/>
  <c r="D130" i="1"/>
  <c r="E130" i="1"/>
  <c r="F130" i="1"/>
  <c r="G130" i="1"/>
  <c r="H130" i="1"/>
  <c r="J130" i="1"/>
  <c r="L130" i="1"/>
  <c r="C139" i="1"/>
  <c r="P141" i="1"/>
  <c r="I141" i="1"/>
  <c r="I151" i="1" s="1"/>
  <c r="Q141" i="1"/>
  <c r="M141" i="1"/>
  <c r="S141" i="1"/>
  <c r="U141" i="1"/>
  <c r="V141" i="1"/>
  <c r="W141" i="1"/>
  <c r="Y141" i="1"/>
  <c r="R141" i="1" s="1"/>
  <c r="P142" i="1"/>
  <c r="I142" i="1"/>
  <c r="T142" i="1" s="1"/>
  <c r="M142" i="1"/>
  <c r="S142" i="1"/>
  <c r="U142" i="1"/>
  <c r="V142" i="1"/>
  <c r="W142" i="1"/>
  <c r="Y142" i="1"/>
  <c r="R142" i="1"/>
  <c r="I143" i="1"/>
  <c r="Q143" i="1" s="1"/>
  <c r="M143" i="1"/>
  <c r="P143" i="1"/>
  <c r="S143" i="1"/>
  <c r="U143" i="1"/>
  <c r="V143" i="1"/>
  <c r="W143" i="1"/>
  <c r="Y143" i="1"/>
  <c r="R143" i="1" s="1"/>
  <c r="I144" i="1"/>
  <c r="M144" i="1"/>
  <c r="P144" i="1"/>
  <c r="S144" i="1"/>
  <c r="U144" i="1"/>
  <c r="V144" i="1"/>
  <c r="W144" i="1"/>
  <c r="Y144" i="1"/>
  <c r="R144" i="1" s="1"/>
  <c r="P145" i="1"/>
  <c r="I145" i="1"/>
  <c r="Q145" i="1" s="1"/>
  <c r="M145" i="1"/>
  <c r="S145" i="1"/>
  <c r="U145" i="1"/>
  <c r="V145" i="1"/>
  <c r="W145" i="1"/>
  <c r="Y145" i="1"/>
  <c r="R145" i="1"/>
  <c r="P146" i="1"/>
  <c r="I146" i="1"/>
  <c r="M146" i="1"/>
  <c r="S146" i="1"/>
  <c r="S151" i="1" s="1"/>
  <c r="U146" i="1"/>
  <c r="V146" i="1"/>
  <c r="W146" i="1"/>
  <c r="Y146" i="1"/>
  <c r="R146" i="1"/>
  <c r="P147" i="1"/>
  <c r="I147" i="1"/>
  <c r="Q147" i="1"/>
  <c r="M147" i="1"/>
  <c r="S147" i="1"/>
  <c r="U147" i="1"/>
  <c r="V147" i="1"/>
  <c r="W147" i="1"/>
  <c r="Y147" i="1"/>
  <c r="R147" i="1"/>
  <c r="P148" i="1"/>
  <c r="I148" i="1"/>
  <c r="Q148" i="1"/>
  <c r="M148" i="1"/>
  <c r="S148" i="1"/>
  <c r="U148" i="1"/>
  <c r="U151" i="1" s="1"/>
  <c r="V148" i="1"/>
  <c r="W148" i="1"/>
  <c r="Y148" i="1"/>
  <c r="R148" i="1" s="1"/>
  <c r="I149" i="1"/>
  <c r="T149" i="1"/>
  <c r="M149" i="1"/>
  <c r="S149" i="1"/>
  <c r="U149" i="1"/>
  <c r="V149" i="1"/>
  <c r="V151" i="1" s="1"/>
  <c r="W149" i="1"/>
  <c r="W151" i="1" s="1"/>
  <c r="Y149" i="1"/>
  <c r="R149" i="1" s="1"/>
  <c r="I150" i="1"/>
  <c r="X150" i="1" s="1"/>
  <c r="Q150" i="1"/>
  <c r="M150" i="1"/>
  <c r="P150" i="1"/>
  <c r="S150" i="1"/>
  <c r="U150" i="1"/>
  <c r="V150" i="1"/>
  <c r="W150" i="1"/>
  <c r="Y150" i="1"/>
  <c r="R150" i="1"/>
  <c r="D151" i="1"/>
  <c r="M151" i="1" s="1"/>
  <c r="E151" i="1"/>
  <c r="F151" i="1"/>
  <c r="G151" i="1"/>
  <c r="H151" i="1"/>
  <c r="L151" i="1"/>
  <c r="P152" i="1"/>
  <c r="I152" i="1"/>
  <c r="T152" i="1"/>
  <c r="M152" i="1"/>
  <c r="S152" i="1"/>
  <c r="S156" i="1" s="1"/>
  <c r="U152" i="1"/>
  <c r="V152" i="1"/>
  <c r="V156" i="1" s="1"/>
  <c r="W152" i="1"/>
  <c r="W156" i="1" s="1"/>
  <c r="Y152" i="1"/>
  <c r="I153" i="1"/>
  <c r="X153" i="1" s="1"/>
  <c r="M153" i="1"/>
  <c r="S153" i="1"/>
  <c r="U153" i="1"/>
  <c r="V153" i="1"/>
  <c r="W153" i="1"/>
  <c r="Y153" i="1"/>
  <c r="R153" i="1"/>
  <c r="P154" i="1"/>
  <c r="I154" i="1"/>
  <c r="X154" i="1"/>
  <c r="M154" i="1"/>
  <c r="S154" i="1"/>
  <c r="U154" i="1"/>
  <c r="V154" i="1"/>
  <c r="W154" i="1"/>
  <c r="Y154" i="1"/>
  <c r="R154" i="1"/>
  <c r="P155" i="1"/>
  <c r="P156" i="1" s="1"/>
  <c r="I155" i="1"/>
  <c r="X155" i="1" s="1"/>
  <c r="Q155" i="1"/>
  <c r="M155" i="1"/>
  <c r="S155" i="1"/>
  <c r="U155" i="1"/>
  <c r="U156" i="1" s="1"/>
  <c r="V155" i="1"/>
  <c r="W155" i="1"/>
  <c r="Y155" i="1"/>
  <c r="R155" i="1" s="1"/>
  <c r="R156" i="1" s="1"/>
  <c r="L156" i="1"/>
  <c r="P111" i="1"/>
  <c r="P106" i="1"/>
  <c r="X36" i="1"/>
  <c r="T38" i="1"/>
  <c r="P153" i="1"/>
  <c r="Q118" i="1"/>
  <c r="P118" i="1"/>
  <c r="T37" i="1"/>
  <c r="C93" i="1"/>
  <c r="Q91" i="1"/>
  <c r="Q93" i="1" s="1"/>
  <c r="P91" i="1"/>
  <c r="X79" i="1"/>
  <c r="X81" i="1" s="1"/>
  <c r="T77" i="1"/>
  <c r="T105" i="1"/>
  <c r="T107" i="1" s="1"/>
  <c r="J72" i="1"/>
  <c r="X71" i="1"/>
  <c r="P24" i="1"/>
  <c r="Q24" i="1"/>
  <c r="Q25" i="1" s="1"/>
  <c r="T106" i="1"/>
  <c r="P88" i="1"/>
  <c r="C90" i="1"/>
  <c r="Q88" i="1"/>
  <c r="Q90" i="1" s="1"/>
  <c r="P92" i="1"/>
  <c r="P149" i="1"/>
  <c r="T81" i="1"/>
  <c r="T75" i="1"/>
  <c r="P89" i="1"/>
  <c r="X76" i="1"/>
  <c r="X78" i="1" s="1"/>
  <c r="T71" i="1"/>
  <c r="T62" i="1"/>
  <c r="T66" i="1"/>
  <c r="T69" i="1"/>
  <c r="M72" i="1"/>
  <c r="S23" i="1"/>
  <c r="S25" i="1"/>
  <c r="J64" i="1"/>
  <c r="X64" i="1"/>
  <c r="M64" i="1"/>
  <c r="T23" i="1"/>
  <c r="T25" i="1"/>
  <c r="S13" i="1"/>
  <c r="W13" i="1"/>
  <c r="J61" i="1"/>
  <c r="X61" i="1"/>
  <c r="J60" i="1"/>
  <c r="C12" i="1"/>
  <c r="Q12" i="1"/>
  <c r="U107" i="1"/>
  <c r="Y75" i="1"/>
  <c r="X129" i="1"/>
  <c r="Y78" i="1"/>
  <c r="S93" i="1"/>
  <c r="S107" i="1"/>
  <c r="Q112" i="1"/>
  <c r="C7" i="1"/>
  <c r="P7" i="1" s="1"/>
  <c r="X107" i="1"/>
  <c r="M20" i="1"/>
  <c r="Q129" i="1"/>
  <c r="S36" i="1"/>
  <c r="V107" i="1"/>
  <c r="Y63" i="1"/>
  <c r="M7" i="1"/>
  <c r="M44" i="1"/>
  <c r="U81" i="1"/>
  <c r="Y72" i="1"/>
  <c r="C130" i="1"/>
  <c r="L48" i="1"/>
  <c r="L50" i="1" s="1"/>
  <c r="L27" i="1"/>
  <c r="C21" i="1"/>
  <c r="S112" i="1"/>
  <c r="Y17" i="1"/>
  <c r="Y27" i="1" s="1"/>
  <c r="Z48" i="1"/>
  <c r="Q43" i="1"/>
  <c r="X72" i="1"/>
  <c r="S44" i="1"/>
  <c r="S47" i="1" s="1"/>
  <c r="Y13" i="1"/>
  <c r="M113" i="1"/>
  <c r="P34" i="1"/>
  <c r="X152" i="1"/>
  <c r="P44" i="1"/>
  <c r="P47" i="1" s="1"/>
  <c r="Q39" i="1"/>
  <c r="M45" i="1"/>
  <c r="P42" i="1"/>
  <c r="Q42" i="1"/>
  <c r="Q47" i="1" s="1"/>
  <c r="M8" i="1"/>
  <c r="Q128" i="1"/>
  <c r="R93" i="1"/>
  <c r="U90" i="1"/>
  <c r="X128" i="1"/>
  <c r="P117" i="1"/>
  <c r="S60" i="1"/>
  <c r="S38" i="1"/>
  <c r="Q116" i="1"/>
  <c r="E63" i="1"/>
  <c r="M63" i="1" s="1"/>
  <c r="T153" i="1"/>
  <c r="E119" i="1"/>
  <c r="Y69" i="1"/>
  <c r="X149" i="1"/>
  <c r="T154" i="1"/>
  <c r="S61" i="1"/>
  <c r="T20" i="1"/>
  <c r="X148" i="1"/>
  <c r="P93" i="1"/>
  <c r="Q154" i="1"/>
  <c r="R63" i="1"/>
  <c r="M19" i="1"/>
  <c r="Q19" i="1"/>
  <c r="Q21" i="1"/>
  <c r="T148" i="1"/>
  <c r="M156" i="1"/>
  <c r="Q149" i="1"/>
  <c r="S64" i="1"/>
  <c r="M42" i="1"/>
  <c r="S40" i="1"/>
  <c r="S20" i="1"/>
  <c r="Q114" i="1"/>
  <c r="Q36" i="1"/>
  <c r="S43" i="1"/>
  <c r="X74" i="1"/>
  <c r="X75" i="1" s="1"/>
  <c r="J75" i="1"/>
  <c r="Y156" i="1"/>
  <c r="R152" i="1"/>
  <c r="M39" i="1"/>
  <c r="S39" i="1"/>
  <c r="L157" i="1"/>
  <c r="R127" i="1"/>
  <c r="V66" i="1"/>
  <c r="T7" i="1"/>
  <c r="X7" i="1"/>
  <c r="Q115" i="1"/>
  <c r="P115" i="1"/>
  <c r="Q16" i="1"/>
  <c r="R17" i="1"/>
  <c r="P74" i="1"/>
  <c r="R66" i="1"/>
  <c r="AA21" i="1"/>
  <c r="J62" i="1"/>
  <c r="Q62" i="1"/>
  <c r="S62" i="1"/>
  <c r="X41" i="1"/>
  <c r="P107" i="1"/>
  <c r="X147" i="1"/>
  <c r="T147" i="1"/>
  <c r="P104" i="1"/>
  <c r="C107" i="1"/>
  <c r="W69" i="1"/>
  <c r="C25" i="1"/>
  <c r="P23" i="1"/>
  <c r="P25" i="1"/>
  <c r="T11" i="1"/>
  <c r="M112" i="1"/>
  <c r="M9" i="1"/>
  <c r="AA17" i="1"/>
  <c r="U66" i="1"/>
  <c r="P151" i="1"/>
  <c r="M107" i="1"/>
  <c r="R44" i="1"/>
  <c r="S42" i="1"/>
  <c r="T146" i="1"/>
  <c r="X146" i="1"/>
  <c r="C11" i="1"/>
  <c r="P11" i="1" s="1"/>
  <c r="S46" i="1"/>
  <c r="G48" i="1"/>
  <c r="Q144" i="1"/>
  <c r="T144" i="1"/>
  <c r="M90" i="1"/>
  <c r="P62" i="1"/>
  <c r="M111" i="1"/>
  <c r="W107" i="1"/>
  <c r="S69" i="1"/>
  <c r="T8" i="1"/>
  <c r="Q146" i="1"/>
  <c r="D63" i="1"/>
  <c r="X144" i="1"/>
  <c r="P16" i="1"/>
  <c r="Q37" i="1"/>
  <c r="T19" i="1"/>
  <c r="T21" i="1" s="1"/>
  <c r="D64" i="1"/>
  <c r="C47" i="1"/>
  <c r="P19" i="1"/>
  <c r="P20" i="1"/>
  <c r="D47" i="1"/>
  <c r="K82" i="1"/>
  <c r="I82" i="1"/>
  <c r="H82" i="1"/>
  <c r="G82" i="1"/>
  <c r="F82" i="1"/>
  <c r="C156" i="1"/>
  <c r="Q152" i="1"/>
  <c r="W130" i="1"/>
  <c r="V130" i="1"/>
  <c r="U130" i="1"/>
  <c r="X47" i="1"/>
  <c r="W47" i="1"/>
  <c r="W41" i="1"/>
  <c r="V41" i="1"/>
  <c r="H48" i="1"/>
  <c r="T63" i="1"/>
  <c r="T64" i="1"/>
  <c r="Y93" i="1"/>
  <c r="V90" i="1"/>
  <c r="V78" i="1"/>
  <c r="R78" i="1"/>
  <c r="J78" i="1"/>
  <c r="Q77" i="1"/>
  <c r="S75" i="1"/>
  <c r="W75" i="1"/>
  <c r="R75" i="1"/>
  <c r="V75" i="1"/>
  <c r="T72" i="1"/>
  <c r="R72" i="1"/>
  <c r="V72" i="1"/>
  <c r="W63" i="1"/>
  <c r="T60" i="1"/>
  <c r="T44" i="1"/>
  <c r="U25" i="1"/>
  <c r="X25" i="1"/>
  <c r="V25" i="1"/>
  <c r="R21" i="1"/>
  <c r="W21" i="1"/>
  <c r="V17" i="1"/>
  <c r="W17" i="1"/>
  <c r="U17" i="1"/>
  <c r="Q64" i="1"/>
  <c r="X60" i="1"/>
  <c r="X63" i="1" s="1"/>
  <c r="J63" i="1"/>
  <c r="Q60" i="1"/>
  <c r="P12" i="1"/>
  <c r="W48" i="1"/>
  <c r="S63" i="1"/>
  <c r="X48" i="1"/>
  <c r="X62" i="1"/>
  <c r="Q11" i="1"/>
  <c r="I17" i="1"/>
  <c r="T16" i="1"/>
  <c r="T17" i="1" s="1"/>
  <c r="P64" i="1"/>
  <c r="D81" i="1"/>
  <c r="P46" i="1"/>
  <c r="Q46" i="1"/>
  <c r="P45" i="1"/>
  <c r="Q45" i="1"/>
  <c r="P68" i="1"/>
  <c r="Q68" i="1"/>
  <c r="P67" i="1"/>
  <c r="D69" i="1"/>
  <c r="P80" i="1"/>
  <c r="T80" i="1"/>
  <c r="Q80" i="1"/>
  <c r="P79" i="1"/>
  <c r="T79" i="1"/>
  <c r="Q79" i="1"/>
  <c r="Q81" i="1" s="1"/>
  <c r="Q76" i="1"/>
  <c r="Q78" i="1" s="1"/>
  <c r="P76" i="1"/>
  <c r="D78" i="1"/>
  <c r="I48" i="1"/>
  <c r="T41" i="1"/>
  <c r="T78" i="1"/>
  <c r="P69" i="1"/>
  <c r="T47" i="1"/>
  <c r="T82" i="1"/>
  <c r="T48" i="1"/>
  <c r="X9" i="1" l="1"/>
  <c r="I13" i="1"/>
  <c r="I27" i="1" s="1"/>
  <c r="I50" i="1" s="1"/>
  <c r="P8" i="1"/>
  <c r="Q8" i="1"/>
  <c r="Q17" i="1"/>
  <c r="P119" i="1"/>
  <c r="R41" i="1"/>
  <c r="X65" i="1"/>
  <c r="X66" i="1" s="1"/>
  <c r="X82" i="1" s="1"/>
  <c r="J66" i="1"/>
  <c r="J82" i="1" s="1"/>
  <c r="P9" i="1"/>
  <c r="Q9" i="1"/>
  <c r="R47" i="1"/>
  <c r="Q119" i="1"/>
  <c r="R107" i="1"/>
  <c r="W82" i="1"/>
  <c r="P130" i="1"/>
  <c r="R119" i="1"/>
  <c r="R27" i="1"/>
  <c r="M119" i="1"/>
  <c r="X156" i="1"/>
  <c r="R151" i="1"/>
  <c r="P72" i="1"/>
  <c r="U82" i="1"/>
  <c r="N102" i="1"/>
  <c r="N139" i="1"/>
  <c r="N125" i="1"/>
  <c r="C41" i="1"/>
  <c r="C48" i="1" s="1"/>
  <c r="E66" i="1"/>
  <c r="M66" i="1" s="1"/>
  <c r="Q70" i="1"/>
  <c r="Q72" i="1" s="1"/>
  <c r="Q38" i="1"/>
  <c r="Q41" i="1" s="1"/>
  <c r="Q48" i="1" s="1"/>
  <c r="T141" i="1"/>
  <c r="X67" i="1"/>
  <c r="X69" i="1" s="1"/>
  <c r="C10" i="1"/>
  <c r="H27" i="1"/>
  <c r="H50" i="1" s="1"/>
  <c r="C13" i="1"/>
  <c r="P21" i="1"/>
  <c r="D21" i="1"/>
  <c r="M21" i="1" s="1"/>
  <c r="D72" i="1"/>
  <c r="R81" i="1"/>
  <c r="X143" i="1"/>
  <c r="X151" i="1" s="1"/>
  <c r="D75" i="1"/>
  <c r="T9" i="1"/>
  <c r="X141" i="1"/>
  <c r="T150" i="1"/>
  <c r="S37" i="1"/>
  <c r="S41" i="1" s="1"/>
  <c r="S48" i="1" s="1"/>
  <c r="T143" i="1"/>
  <c r="Q67" i="1"/>
  <c r="Q69" i="1" s="1"/>
  <c r="M47" i="1"/>
  <c r="I156" i="1"/>
  <c r="M114" i="1"/>
  <c r="V81" i="1"/>
  <c r="V82" i="1" s="1"/>
  <c r="D41" i="1"/>
  <c r="T155" i="1"/>
  <c r="T156" i="1" s="1"/>
  <c r="M15" i="1"/>
  <c r="C119" i="1"/>
  <c r="Q142" i="1"/>
  <c r="Q151" i="1" s="1"/>
  <c r="T127" i="1"/>
  <c r="T130" i="1" s="1"/>
  <c r="S65" i="1"/>
  <c r="S66" i="1" s="1"/>
  <c r="P15" i="1"/>
  <c r="P17" i="1" s="1"/>
  <c r="S81" i="1"/>
  <c r="S82" i="1" s="1"/>
  <c r="M65" i="1"/>
  <c r="Y47" i="1"/>
  <c r="I130" i="1"/>
  <c r="Y151" i="1"/>
  <c r="Y41" i="1"/>
  <c r="Y48" i="1" s="1"/>
  <c r="P113" i="1"/>
  <c r="Q153" i="1"/>
  <c r="Q156" i="1" s="1"/>
  <c r="X145" i="1"/>
  <c r="R128" i="1"/>
  <c r="R130" i="1" s="1"/>
  <c r="T10" i="1"/>
  <c r="T13" i="1" s="1"/>
  <c r="T27" i="1" s="1"/>
  <c r="D13" i="1"/>
  <c r="Z27" i="1"/>
  <c r="W27" i="1" s="1"/>
  <c r="X16" i="1"/>
  <c r="X17" i="1" s="1"/>
  <c r="D65" i="1"/>
  <c r="Q7" i="1"/>
  <c r="X127" i="1"/>
  <c r="X130" i="1" s="1"/>
  <c r="Q71" i="1"/>
  <c r="M81" i="1"/>
  <c r="C17" i="1"/>
  <c r="U21" i="1"/>
  <c r="U27" i="1" s="1"/>
  <c r="X12" i="1"/>
  <c r="T145" i="1"/>
  <c r="T151" i="1" s="1"/>
  <c r="X142" i="1"/>
  <c r="R82" i="1"/>
  <c r="Y119" i="1"/>
  <c r="X13" i="1" l="1"/>
  <c r="X27" i="1" s="1"/>
  <c r="D48" i="1"/>
  <c r="M48" i="1" s="1"/>
  <c r="M41" i="1"/>
  <c r="S27" i="1"/>
  <c r="V27" i="1"/>
  <c r="R48" i="1"/>
  <c r="P65" i="1"/>
  <c r="P66" i="1" s="1"/>
  <c r="P82" i="1" s="1"/>
  <c r="Q65" i="1"/>
  <c r="Q66" i="1" s="1"/>
  <c r="Q82" i="1" s="1"/>
  <c r="D66" i="1"/>
  <c r="D82" i="1" s="1"/>
  <c r="C27" i="1"/>
  <c r="C50" i="1" s="1"/>
  <c r="E82" i="1"/>
  <c r="M82" i="1" s="1"/>
  <c r="P10" i="1"/>
  <c r="P13" i="1" s="1"/>
  <c r="P27" i="1" s="1"/>
  <c r="Q10" i="1"/>
  <c r="Q13" i="1" s="1"/>
  <c r="Q27" i="1" s="1"/>
  <c r="M13" i="1"/>
  <c r="D27" i="1"/>
  <c r="M27" i="1" l="1"/>
  <c r="D50" i="1"/>
</calcChain>
</file>

<file path=xl/sharedStrings.xml><?xml version="1.0" encoding="utf-8"?>
<sst xmlns="http://schemas.openxmlformats.org/spreadsheetml/2006/main" count="478" uniqueCount="125">
  <si>
    <t>SISTEMA A VAPOR</t>
  </si>
  <si>
    <t>INFORME DE DISPONIBILIDAD</t>
  </si>
  <si>
    <t>INDICES DE PRODUCTIVIDAD</t>
  </si>
  <si>
    <t>DISTRIBUCION DE HORAS</t>
  </si>
  <si>
    <t>HORAS EN EL MES:</t>
  </si>
  <si>
    <t>ENERO</t>
  </si>
  <si>
    <t>PLANTA</t>
  </si>
  <si>
    <t>UNIDAD</t>
  </si>
  <si>
    <t>AH</t>
  </si>
  <si>
    <t>SH</t>
  </si>
  <si>
    <t>RSH</t>
  </si>
  <si>
    <t>FOH</t>
  </si>
  <si>
    <t>POH</t>
  </si>
  <si>
    <t>MOH</t>
  </si>
  <si>
    <t>EOH</t>
  </si>
  <si>
    <t>FOO</t>
  </si>
  <si>
    <t>OA</t>
  </si>
  <si>
    <t>EA</t>
  </si>
  <si>
    <t>CF</t>
  </si>
  <si>
    <t>FOR</t>
  </si>
  <si>
    <t>EFOR</t>
  </si>
  <si>
    <t>POF</t>
  </si>
  <si>
    <t>MOF</t>
  </si>
  <si>
    <t>FOF</t>
  </si>
  <si>
    <t>EOF</t>
  </si>
  <si>
    <t>GROSS</t>
  </si>
  <si>
    <t>MDC</t>
  </si>
  <si>
    <t>PH*MDC</t>
  </si>
  <si>
    <t>CT 5</t>
  </si>
  <si>
    <t>ST 5</t>
  </si>
  <si>
    <t>STG 5</t>
  </si>
  <si>
    <t>CT 6</t>
  </si>
  <si>
    <t>SAN</t>
  </si>
  <si>
    <t>ST 6</t>
  </si>
  <si>
    <t>STG 6</t>
  </si>
  <si>
    <t>JUAN</t>
  </si>
  <si>
    <t xml:space="preserve"> 7</t>
  </si>
  <si>
    <t xml:space="preserve"> 9</t>
  </si>
  <si>
    <t>TOTAL</t>
  </si>
  <si>
    <t xml:space="preserve"> 1</t>
  </si>
  <si>
    <t>PALO</t>
  </si>
  <si>
    <t xml:space="preserve"> 2</t>
  </si>
  <si>
    <t>SECO</t>
  </si>
  <si>
    <t xml:space="preserve"> 3</t>
  </si>
  <si>
    <t xml:space="preserve"> 4</t>
  </si>
  <si>
    <t>COSTA</t>
  </si>
  <si>
    <t>SUR</t>
  </si>
  <si>
    <t xml:space="preserve"> 5</t>
  </si>
  <si>
    <t xml:space="preserve"> 6</t>
  </si>
  <si>
    <t>AGUIRRE</t>
  </si>
  <si>
    <t>TOTAL VAPOR</t>
  </si>
  <si>
    <t>CENTRAL CICLO COMBINADO</t>
  </si>
  <si>
    <t>HORAS EN EL MES</t>
  </si>
  <si>
    <t xml:space="preserve"> MDC</t>
  </si>
  <si>
    <t>VAPOR 1</t>
  </si>
  <si>
    <t>CICLO</t>
  </si>
  <si>
    <t xml:space="preserve"> 1-1</t>
  </si>
  <si>
    <t>COMBINADO</t>
  </si>
  <si>
    <t xml:space="preserve"> 1-2</t>
  </si>
  <si>
    <t>I</t>
  </si>
  <si>
    <t xml:space="preserve"> 1-3</t>
  </si>
  <si>
    <t xml:space="preserve"> 1-4</t>
  </si>
  <si>
    <t>VAPOR 2</t>
  </si>
  <si>
    <t xml:space="preserve"> 2-1</t>
  </si>
  <si>
    <t xml:space="preserve"> 2-2</t>
  </si>
  <si>
    <t>II</t>
  </si>
  <si>
    <t xml:space="preserve"> 2-3</t>
  </si>
  <si>
    <t xml:space="preserve"> 2-4</t>
  </si>
  <si>
    <t>TOTAL CICLO</t>
  </si>
  <si>
    <t>TOTAL VAP &amp; CC</t>
  </si>
  <si>
    <t>CENTRAL HIDRO &amp; GAS</t>
  </si>
  <si>
    <t>TURBINAS A GAS</t>
  </si>
  <si>
    <t xml:space="preserve">    PLANTA</t>
  </si>
  <si>
    <t>PALO SECO</t>
  </si>
  <si>
    <t xml:space="preserve">    TOTAL</t>
  </si>
  <si>
    <t>COSTA SUR</t>
  </si>
  <si>
    <t>YABUCOA</t>
  </si>
  <si>
    <t>VEGA BAJA</t>
  </si>
  <si>
    <t>JOBOS</t>
  </si>
  <si>
    <t>DAGUAO</t>
  </si>
  <si>
    <t>TOTAL TURBINAS GAS</t>
  </si>
  <si>
    <t>TOTAL A GAS</t>
  </si>
  <si>
    <t xml:space="preserve">  DIESEL</t>
  </si>
  <si>
    <t xml:space="preserve"> </t>
  </si>
  <si>
    <t>DIESEL</t>
  </si>
  <si>
    <t>CULEBRA</t>
  </si>
  <si>
    <t xml:space="preserve"> TOTAL</t>
  </si>
  <si>
    <t>VIEQUES</t>
  </si>
  <si>
    <t>CENTRAL CAMBALACHE</t>
  </si>
  <si>
    <t>INDICES DE DISPONIBILIDAD</t>
  </si>
  <si>
    <t>CAMBALACHE</t>
  </si>
  <si>
    <t>Cambalache</t>
  </si>
  <si>
    <t>Total</t>
  </si>
  <si>
    <t>IA</t>
  </si>
  <si>
    <t>IB</t>
  </si>
  <si>
    <t>2A</t>
  </si>
  <si>
    <t>MAYAGÜEZ</t>
  </si>
  <si>
    <t>2B</t>
  </si>
  <si>
    <t>3A</t>
  </si>
  <si>
    <t>3B</t>
  </si>
  <si>
    <t>4A</t>
  </si>
  <si>
    <t>4B</t>
  </si>
  <si>
    <t xml:space="preserve"> ECOELÉCTRICA</t>
  </si>
  <si>
    <t>MP 1</t>
  </si>
  <si>
    <t xml:space="preserve">Palo Seco PW FT-8 </t>
  </si>
  <si>
    <t>MP 2</t>
  </si>
  <si>
    <t xml:space="preserve">PW FT-8 </t>
  </si>
  <si>
    <t>MP 3</t>
  </si>
  <si>
    <t>PEAKERS</t>
  </si>
  <si>
    <t>GAS TURBINA</t>
  </si>
  <si>
    <t>TM 1</t>
  </si>
  <si>
    <t>TM 2</t>
  </si>
  <si>
    <t>TM 3</t>
  </si>
  <si>
    <t>TM 4</t>
  </si>
  <si>
    <t>TM 5</t>
  </si>
  <si>
    <t>TM 6</t>
  </si>
  <si>
    <t>TM 7</t>
  </si>
  <si>
    <t>TM 8</t>
  </si>
  <si>
    <t>TM 9</t>
  </si>
  <si>
    <t>TM 10</t>
  </si>
  <si>
    <t>GENERATION</t>
  </si>
  <si>
    <t xml:space="preserve">PALO </t>
  </si>
  <si>
    <t>Trailer Mounted</t>
  </si>
  <si>
    <t>Palo Seco</t>
  </si>
  <si>
    <t>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</si>
</sst>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_)"/>
    <numFmt numFmtId="165" formatCode="0.00_)"/>
    <numFmt numFmtId="166" formatCode="0.0_)"/>
    <numFmt numFmtId="167" formatCode="0.000_)"/>
    <numFmt numFmtId="168" formatCode="0.0"/>
    <numFmt numFmtId="169" formatCode="0.000"/>
    <numFmt numFmtId="170" formatCode="0.0%"/>
    <numFmt numFmtId="171" formatCode="_(* #,##0.000_);_(* \(#,##0.000\);_(* &quot;-&quot;??_);_(@_)"/>
    <numFmt numFmtId="172" formatCode="_(* #,##0_);_(* \(#,##0\);_(* &quot;-&quot;??_);_(@_)"/>
    <numFmt numFmtId="173" formatCode="#,##0.000"/>
  </numFmts>
  <fonts count="8" x14ac:knownFonts="1">
    <font>
      <sz val="10"/>
      <name val="Times New Roman"/>
      <family val="1"/>
    </font>
    <font>
      <sz val="10"/>
      <name val="Arial"/>
      <family val="2"/>
    </font>
    <font>
      <sz val="10"/>
      <name val="Courier New"/>
      <family val="3"/>
    </font>
    <font>
      <b/>
      <sz val="10"/>
      <name val="Courier New"/>
      <family val="3"/>
    </font>
    <font>
      <b/>
      <i/>
      <sz val="10"/>
      <name val="Courier New"/>
      <family val="3"/>
    </font>
    <font>
      <i/>
      <sz val="10"/>
      <name val="Courier New"/>
      <family val="3"/>
    </font>
    <font>
      <sz val="11"/>
      <color theme="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164" fontId="0" fillId="0" borderId="0" xfId="0"/>
    <xf numFmtId="165" fontId="5" fillId="0" borderId="0" xfId="0" applyNumberFormat="1" applyFont="1" applyAlignment="1">
      <alignment horizontal="left" vertical="center"/>
    </xf>
    <xf numFmtId="164" fontId="5" fillId="0" borderId="0" xfId="0" applyFont="1" applyAlignment="1">
      <alignment horizontal="left" vertical="center"/>
    </xf>
    <xf numFmtId="164" fontId="2" fillId="0" borderId="0" xfId="0" applyFont="1" applyAlignment="1">
      <alignment horizontal="center" vertical="center"/>
    </xf>
    <xf numFmtId="164" fontId="2" fillId="0" borderId="7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64" fontId="3" fillId="0" borderId="5" xfId="0" applyFont="1" applyBorder="1" applyAlignment="1">
      <alignment vertical="center" wrapText="1"/>
    </xf>
    <xf numFmtId="164" fontId="3" fillId="0" borderId="0" xfId="0" applyFont="1" applyAlignment="1">
      <alignment vertical="center" wrapText="1"/>
    </xf>
    <xf numFmtId="164" fontId="3" fillId="0" borderId="2" xfId="0" applyFont="1" applyBorder="1" applyAlignment="1">
      <alignment vertical="center" wrapText="1"/>
    </xf>
    <xf numFmtId="173" fontId="3" fillId="0" borderId="0" xfId="1" applyNumberFormat="1" applyFont="1" applyBorder="1" applyAlignment="1">
      <alignment horizontal="center" vertical="center"/>
    </xf>
    <xf numFmtId="164" fontId="2" fillId="0" borderId="0" xfId="0" applyFont="1" applyAlignment="1">
      <alignment vertical="center"/>
    </xf>
    <xf numFmtId="173" fontId="2" fillId="0" borderId="0" xfId="1" applyNumberFormat="1" applyFont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43" fontId="2" fillId="0" borderId="0" xfId="1" applyFont="1" applyFill="1" applyAlignment="1">
      <alignment vertical="center"/>
    </xf>
    <xf numFmtId="43" fontId="2" fillId="0" borderId="0" xfId="1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2" fillId="2" borderId="0" xfId="0" applyFont="1" applyFill="1" applyAlignment="1">
      <alignment vertical="center"/>
    </xf>
    <xf numFmtId="165" fontId="2" fillId="0" borderId="0" xfId="0" applyNumberFormat="1" applyFont="1" applyAlignment="1">
      <alignment horizontal="right" vertical="center"/>
    </xf>
    <xf numFmtId="164" fontId="3" fillId="0" borderId="6" xfId="0" applyFont="1" applyBorder="1" applyAlignment="1">
      <alignment vertical="center"/>
    </xf>
    <xf numFmtId="164" fontId="2" fillId="0" borderId="0" xfId="0" applyFont="1" applyAlignment="1">
      <alignment horizontal="centerContinuous" vertical="center"/>
    </xf>
    <xf numFmtId="164" fontId="3" fillId="0" borderId="0" xfId="0" applyFont="1" applyAlignment="1">
      <alignment horizontal="centerContinuous" vertical="center"/>
    </xf>
    <xf numFmtId="1" fontId="3" fillId="0" borderId="0" xfId="0" applyNumberFormat="1" applyFont="1" applyAlignment="1">
      <alignment horizontal="right" vertical="center"/>
    </xf>
    <xf numFmtId="164" fontId="3" fillId="0" borderId="0" xfId="0" applyFont="1" applyAlignment="1">
      <alignment vertical="center"/>
    </xf>
    <xf numFmtId="166" fontId="3" fillId="0" borderId="0" xfId="0" applyNumberFormat="1" applyFont="1" applyAlignment="1">
      <alignment horizontal="centerContinuous" vertical="center"/>
    </xf>
    <xf numFmtId="164" fontId="4" fillId="0" borderId="0" xfId="0" applyFont="1" applyAlignment="1">
      <alignment vertical="center"/>
    </xf>
    <xf numFmtId="164" fontId="3" fillId="0" borderId="9" xfId="0" applyFont="1" applyBorder="1" applyAlignment="1">
      <alignment horizontal="center" vertical="center"/>
    </xf>
    <xf numFmtId="164" fontId="3" fillId="0" borderId="9" xfId="0" quotePrefix="1" applyFont="1" applyBorder="1" applyAlignment="1">
      <alignment horizontal="center" vertical="center"/>
    </xf>
    <xf numFmtId="166" fontId="3" fillId="0" borderId="9" xfId="0" quotePrefix="1" applyNumberFormat="1" applyFont="1" applyBorder="1" applyAlignment="1">
      <alignment horizontal="center" vertical="center"/>
    </xf>
    <xf numFmtId="165" fontId="3" fillId="0" borderId="9" xfId="0" quotePrefix="1" applyNumberFormat="1" applyFont="1" applyBorder="1" applyAlignment="1">
      <alignment horizontal="center" vertical="center"/>
    </xf>
    <xf numFmtId="164" fontId="3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 applyProtection="1">
      <alignment vertical="center"/>
      <protection locked="0"/>
    </xf>
    <xf numFmtId="1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 applyProtection="1">
      <alignment horizontal="right" vertical="center"/>
      <protection locked="0"/>
    </xf>
    <xf numFmtId="168" fontId="2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vertical="center"/>
    </xf>
    <xf numFmtId="170" fontId="2" fillId="0" borderId="0" xfId="2" applyNumberFormat="1" applyFont="1" applyFill="1" applyBorder="1" applyAlignment="1">
      <alignment vertical="center"/>
    </xf>
    <xf numFmtId="10" fontId="2" fillId="0" borderId="0" xfId="2" applyNumberFormat="1" applyFont="1" applyFill="1" applyBorder="1" applyAlignment="1">
      <alignment vertical="center"/>
    </xf>
    <xf numFmtId="2" fontId="2" fillId="0" borderId="0" xfId="0" applyNumberFormat="1" applyFont="1" applyAlignment="1" applyProtection="1">
      <alignment vertical="center"/>
      <protection locked="0"/>
    </xf>
    <xf numFmtId="164" fontId="2" fillId="0" borderId="2" xfId="0" applyFont="1" applyBorder="1" applyAlignment="1">
      <alignment vertical="center"/>
    </xf>
    <xf numFmtId="164" fontId="2" fillId="0" borderId="7" xfId="0" applyFont="1" applyBorder="1" applyAlignment="1">
      <alignment vertical="center"/>
    </xf>
    <xf numFmtId="4" fontId="2" fillId="0" borderId="0" xfId="1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center" vertical="center"/>
    </xf>
    <xf numFmtId="164" fontId="2" fillId="0" borderId="5" xfId="0" applyFont="1" applyBorder="1" applyAlignment="1">
      <alignment vertical="center"/>
    </xf>
    <xf numFmtId="164" fontId="2" fillId="0" borderId="5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Font="1" applyAlignment="1" applyProtection="1">
      <alignment horizontal="center" vertical="center"/>
      <protection locked="0"/>
    </xf>
    <xf numFmtId="165" fontId="2" fillId="3" borderId="12" xfId="0" applyNumberFormat="1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173" fontId="2" fillId="0" borderId="0" xfId="1" applyNumberFormat="1" applyFont="1" applyBorder="1" applyAlignment="1">
      <alignment horizontal="right" vertical="center"/>
    </xf>
    <xf numFmtId="43" fontId="2" fillId="0" borderId="0" xfId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164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4" fontId="2" fillId="4" borderId="0" xfId="0" applyFont="1" applyFill="1" applyAlignment="1">
      <alignment vertical="center"/>
    </xf>
    <xf numFmtId="164" fontId="2" fillId="0" borderId="4" xfId="0" applyFont="1" applyBorder="1" applyAlignment="1">
      <alignment vertical="center"/>
    </xf>
    <xf numFmtId="165" fontId="2" fillId="0" borderId="4" xfId="0" applyNumberFormat="1" applyFont="1" applyBorder="1" applyAlignment="1">
      <alignment horizontal="center" vertical="center"/>
    </xf>
    <xf numFmtId="164" fontId="2" fillId="0" borderId="4" xfId="0" applyFont="1" applyBorder="1" applyAlignment="1">
      <alignment horizontal="center" vertical="center"/>
    </xf>
    <xf numFmtId="164" fontId="4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Continuous" vertical="center"/>
    </xf>
    <xf numFmtId="164" fontId="6" fillId="0" borderId="0" xfId="0" applyFont="1" applyAlignment="1">
      <alignment horizontal="center" vertical="center"/>
    </xf>
    <xf numFmtId="164" fontId="6" fillId="0" borderId="0" xfId="0" applyFont="1" applyAlignment="1">
      <alignment vertical="center"/>
    </xf>
    <xf numFmtId="164" fontId="3" fillId="0" borderId="0" xfId="0" quotePrefix="1" applyFont="1" applyAlignment="1">
      <alignment horizontal="centerContinuous" vertical="center"/>
    </xf>
    <xf numFmtId="173" fontId="2" fillId="0" borderId="0" xfId="1" applyNumberFormat="1" applyFont="1" applyAlignment="1">
      <alignment horizontal="right" vertical="center"/>
    </xf>
    <xf numFmtId="166" fontId="2" fillId="0" borderId="0" xfId="0" applyNumberFormat="1" applyFont="1" applyAlignment="1">
      <alignment horizontal="centerContinuous" vertical="center"/>
    </xf>
    <xf numFmtId="165" fontId="6" fillId="0" borderId="0" xfId="0" applyNumberFormat="1" applyFont="1" applyAlignment="1">
      <alignment vertical="center"/>
    </xf>
    <xf numFmtId="164" fontId="3" fillId="0" borderId="15" xfId="0" applyFont="1" applyBorder="1" applyAlignment="1">
      <alignment horizontal="center" vertical="center"/>
    </xf>
    <xf numFmtId="164" fontId="3" fillId="0" borderId="14" xfId="0" applyFont="1" applyBorder="1" applyAlignment="1">
      <alignment horizontal="center" vertical="center"/>
    </xf>
    <xf numFmtId="164" fontId="3" fillId="0" borderId="14" xfId="0" quotePrefix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64" fontId="2" fillId="0" borderId="13" xfId="0" applyFont="1" applyBorder="1" applyAlignment="1">
      <alignment vertical="center"/>
    </xf>
    <xf numFmtId="165" fontId="2" fillId="0" borderId="13" xfId="0" applyNumberFormat="1" applyFont="1" applyBorder="1" applyAlignment="1">
      <alignment horizontal="center" vertical="center"/>
    </xf>
    <xf numFmtId="164" fontId="2" fillId="0" borderId="13" xfId="0" applyFont="1" applyBorder="1" applyAlignment="1">
      <alignment horizontal="center" vertical="center"/>
    </xf>
    <xf numFmtId="165" fontId="2" fillId="0" borderId="13" xfId="0" applyNumberFormat="1" applyFont="1" applyBorder="1" applyAlignment="1" applyProtection="1">
      <alignment horizontal="center" vertical="center"/>
      <protection locked="0"/>
    </xf>
    <xf numFmtId="43" fontId="2" fillId="0" borderId="7" xfId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4" fontId="3" fillId="0" borderId="0" xfId="0" quotePrefix="1" applyFont="1" applyAlignment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3" xfId="0" applyFont="1" applyBorder="1" applyAlignment="1" applyProtection="1">
      <alignment horizontal="center" vertical="center"/>
      <protection locked="0"/>
    </xf>
    <xf numFmtId="164" fontId="3" fillId="0" borderId="1" xfId="0" applyFont="1" applyBorder="1" applyAlignment="1">
      <alignment vertical="center"/>
    </xf>
    <xf numFmtId="164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73" fontId="2" fillId="0" borderId="0" xfId="1" applyNumberFormat="1" applyFont="1" applyBorder="1" applyAlignment="1">
      <alignment vertical="center"/>
    </xf>
    <xf numFmtId="164" fontId="2" fillId="0" borderId="6" xfId="0" applyFont="1" applyBorder="1" applyAlignment="1">
      <alignment vertical="center"/>
    </xf>
    <xf numFmtId="164" fontId="3" fillId="0" borderId="6" xfId="0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4" fontId="2" fillId="0" borderId="6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4" fontId="3" fillId="0" borderId="9" xfId="0" applyFont="1" applyBorder="1" applyAlignment="1">
      <alignment horizontal="centerContinuous" vertical="center"/>
    </xf>
    <xf numFmtId="164" fontId="3" fillId="0" borderId="2" xfId="0" applyFont="1" applyBorder="1" applyAlignment="1">
      <alignment vertical="center"/>
    </xf>
    <xf numFmtId="164" fontId="3" fillId="0" borderId="2" xfId="0" quotePrefix="1" applyFont="1" applyBorder="1" applyAlignment="1">
      <alignment horizontal="center" vertical="center"/>
    </xf>
    <xf numFmtId="166" fontId="3" fillId="0" borderId="2" xfId="0" quotePrefix="1" applyNumberFormat="1" applyFont="1" applyBorder="1" applyAlignment="1">
      <alignment horizontal="center" vertical="center"/>
    </xf>
    <xf numFmtId="165" fontId="3" fillId="0" borderId="2" xfId="0" quotePrefix="1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horizontal="center" vertical="center"/>
      <protection locked="0"/>
    </xf>
    <xf numFmtId="164" fontId="3" fillId="0" borderId="0" xfId="0" quotePrefix="1" applyFont="1" applyAlignment="1">
      <alignment horizontal="left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>
      <alignment horizontal="center" vertical="center"/>
    </xf>
    <xf numFmtId="2" fontId="2" fillId="0" borderId="5" xfId="0" applyNumberFormat="1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3" xfId="0" applyFont="1" applyBorder="1" applyAlignment="1">
      <alignment horizontal="centerContinuous" vertical="center"/>
    </xf>
    <xf numFmtId="1" fontId="2" fillId="0" borderId="1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166" fontId="2" fillId="0" borderId="4" xfId="0" applyNumberFormat="1" applyFont="1" applyBorder="1" applyAlignment="1">
      <alignment horizontal="center" vertical="center"/>
    </xf>
    <xf numFmtId="164" fontId="2" fillId="0" borderId="1" xfId="0" applyFont="1" applyBorder="1" applyAlignment="1">
      <alignment horizontal="center" vertical="center"/>
    </xf>
    <xf numFmtId="164" fontId="3" fillId="0" borderId="6" xfId="0" applyFont="1" applyBorder="1" applyAlignment="1">
      <alignment horizontal="right" vertical="center"/>
    </xf>
    <xf numFmtId="164" fontId="3" fillId="0" borderId="2" xfId="0" applyFont="1" applyBorder="1" applyAlignment="1">
      <alignment horizontal="center" vertical="center"/>
    </xf>
    <xf numFmtId="173" fontId="2" fillId="0" borderId="0" xfId="0" applyNumberFormat="1" applyFont="1" applyAlignment="1" applyProtection="1">
      <alignment horizontal="right" vertical="center"/>
      <protection locked="0"/>
    </xf>
    <xf numFmtId="173" fontId="2" fillId="0" borderId="0" xfId="0" applyNumberFormat="1" applyFont="1" applyAlignment="1">
      <alignment horizontal="right" vertical="center"/>
    </xf>
    <xf numFmtId="164" fontId="3" fillId="0" borderId="7" xfId="0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right" vertical="center"/>
    </xf>
    <xf numFmtId="166" fontId="2" fillId="0" borderId="3" xfId="0" applyNumberFormat="1" applyFont="1" applyBorder="1" applyAlignment="1">
      <alignment horizontal="center" vertical="center"/>
    </xf>
    <xf numFmtId="164" fontId="2" fillId="0" borderId="0" xfId="0" applyFont="1" applyAlignment="1">
      <alignment horizontal="right" vertical="center"/>
    </xf>
    <xf numFmtId="164" fontId="2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9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164" fontId="5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4" fontId="5" fillId="0" borderId="8" xfId="0" applyFont="1" applyBorder="1" applyAlignment="1">
      <alignment horizontal="center" vertical="center"/>
    </xf>
    <xf numFmtId="164" fontId="3" fillId="0" borderId="8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164" fontId="2" fillId="4" borderId="0" xfId="0" applyFont="1" applyFill="1" applyAlignment="1">
      <alignment horizontal="center" vertical="center"/>
    </xf>
    <xf numFmtId="173" fontId="2" fillId="4" borderId="0" xfId="1" applyNumberFormat="1" applyFont="1" applyFill="1" applyBorder="1" applyAlignment="1">
      <alignment vertical="center"/>
    </xf>
    <xf numFmtId="166" fontId="2" fillId="4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2" fontId="2" fillId="4" borderId="0" xfId="0" applyNumberFormat="1" applyFont="1" applyFill="1" applyAlignment="1">
      <alignment vertical="center"/>
    </xf>
    <xf numFmtId="173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left" vertical="center"/>
    </xf>
    <xf numFmtId="171" fontId="5" fillId="0" borderId="0" xfId="1" applyNumberFormat="1" applyFont="1" applyAlignment="1">
      <alignment vertical="center"/>
    </xf>
    <xf numFmtId="171" fontId="7" fillId="0" borderId="0" xfId="1" applyNumberFormat="1" applyFont="1" applyAlignment="1">
      <alignment vertical="center"/>
    </xf>
    <xf numFmtId="164" fontId="3" fillId="0" borderId="1" xfId="0" applyFont="1" applyBorder="1" applyAlignment="1">
      <alignment horizontal="center" vertical="center"/>
    </xf>
    <xf numFmtId="164" fontId="3" fillId="0" borderId="1" xfId="0" quotePrefix="1" applyFont="1" applyBorder="1" applyAlignment="1">
      <alignment horizontal="center" vertical="center"/>
    </xf>
    <xf numFmtId="166" fontId="3" fillId="0" borderId="1" xfId="0" quotePrefix="1" applyNumberFormat="1" applyFont="1" applyBorder="1" applyAlignment="1">
      <alignment horizontal="center" vertical="center"/>
    </xf>
    <xf numFmtId="165" fontId="3" fillId="0" borderId="1" xfId="0" quotePrefix="1" applyNumberFormat="1" applyFont="1" applyBorder="1" applyAlignment="1">
      <alignment horizontal="center" vertical="center"/>
    </xf>
    <xf numFmtId="164" fontId="5" fillId="0" borderId="7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71" fontId="2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1" fontId="3" fillId="0" borderId="9" xfId="0" applyNumberFormat="1" applyFont="1" applyBorder="1" applyAlignment="1">
      <alignment horizontal="centerContinuous" vertical="center"/>
    </xf>
    <xf numFmtId="1" fontId="3" fillId="0" borderId="9" xfId="0" quotePrefix="1" applyNumberFormat="1" applyFont="1" applyBorder="1" applyAlignment="1">
      <alignment horizontal="center" vertical="center"/>
    </xf>
    <xf numFmtId="164" fontId="3" fillId="0" borderId="9" xfId="0" applyFont="1" applyBorder="1" applyAlignment="1">
      <alignment horizontal="left" vertical="center"/>
    </xf>
    <xf numFmtId="173" fontId="2" fillId="0" borderId="0" xfId="0" applyNumberFormat="1" applyFont="1" applyAlignment="1">
      <alignment vertical="center"/>
    </xf>
    <xf numFmtId="171" fontId="2" fillId="0" borderId="0" xfId="1" applyNumberFormat="1" applyFont="1" applyBorder="1" applyAlignment="1">
      <alignment vertical="center"/>
    </xf>
    <xf numFmtId="164" fontId="2" fillId="0" borderId="7" xfId="0" applyFont="1" applyBorder="1" applyAlignment="1">
      <alignment horizontal="right" vertical="center"/>
    </xf>
    <xf numFmtId="165" fontId="2" fillId="0" borderId="16" xfId="0" applyNumberFormat="1" applyFont="1" applyBorder="1" applyAlignment="1">
      <alignment horizontal="center" vertical="center"/>
    </xf>
    <xf numFmtId="173" fontId="2" fillId="0" borderId="7" xfId="0" applyNumberFormat="1" applyFont="1" applyBorder="1" applyAlignment="1">
      <alignment vertical="center"/>
    </xf>
    <xf numFmtId="171" fontId="2" fillId="0" borderId="10" xfId="1" applyNumberFormat="1" applyFont="1" applyBorder="1" applyAlignment="1">
      <alignment vertical="center"/>
    </xf>
    <xf numFmtId="164" fontId="2" fillId="0" borderId="10" xfId="0" applyFont="1" applyBorder="1" applyAlignment="1">
      <alignment vertical="center"/>
    </xf>
    <xf numFmtId="173" fontId="2" fillId="0" borderId="0" xfId="1" applyNumberFormat="1" applyFont="1" applyFill="1" applyBorder="1" applyAlignment="1">
      <alignment vertical="center"/>
    </xf>
    <xf numFmtId="173" fontId="2" fillId="0" borderId="0" xfId="1" applyNumberFormat="1" applyFont="1" applyBorder="1" applyAlignment="1">
      <alignment horizontal="center" vertical="center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17" xfId="0" applyFont="1" applyBorder="1" applyAlignment="1">
      <alignment horizontal="center" vertical="center"/>
    </xf>
    <xf numFmtId="164" fontId="3" fillId="0" borderId="18" xfId="0" applyFont="1" applyBorder="1" applyAlignment="1">
      <alignment vertical="center"/>
    </xf>
    <xf numFmtId="164" fontId="3" fillId="0" borderId="18" xfId="0" quotePrefix="1" applyFont="1" applyBorder="1" applyAlignment="1">
      <alignment horizontal="center" vertical="center"/>
    </xf>
    <xf numFmtId="166" fontId="3" fillId="0" borderId="18" xfId="0" quotePrefix="1" applyNumberFormat="1" applyFont="1" applyBorder="1" applyAlignment="1">
      <alignment horizontal="center" vertical="center"/>
    </xf>
    <xf numFmtId="165" fontId="3" fillId="0" borderId="18" xfId="0" quotePrefix="1" applyNumberFormat="1" applyFont="1" applyBorder="1" applyAlignment="1">
      <alignment horizontal="center" vertical="center"/>
    </xf>
    <xf numFmtId="164" fontId="3" fillId="0" borderId="19" xfId="0" quotePrefix="1" applyFont="1" applyBorder="1" applyAlignment="1">
      <alignment horizontal="center" vertical="center"/>
    </xf>
    <xf numFmtId="164" fontId="2" fillId="0" borderId="0" xfId="0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164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500C-A501-4D20-8016-B483E2BE3860}">
  <sheetPr>
    <pageSetUpPr autoPageBreaks="0" fitToPage="1"/>
  </sheetPr>
  <dimension ref="A1:AT244"/>
  <sheetViews>
    <sheetView tabSelected="1" topLeftCell="A101" zoomScale="90" zoomScaleNormal="90" workbookViewId="0">
      <selection activeCell="B120" sqref="B120"/>
    </sheetView>
  </sheetViews>
  <sheetFormatPr defaultColWidth="7.1640625" defaultRowHeight="13.5" customHeight="1" x14ac:dyDescent="0.2"/>
  <cols>
    <col min="1" max="1" width="23.33203125" style="14" bestFit="1" customWidth="1"/>
    <col min="2" max="2" width="11.6640625" style="14" customWidth="1"/>
    <col min="3" max="6" width="11.6640625" style="3" bestFit="1" customWidth="1"/>
    <col min="7" max="7" width="11.5" style="3" customWidth="1"/>
    <col min="8" max="8" width="9.1640625" style="3" bestFit="1" customWidth="1"/>
    <col min="9" max="9" width="11.6640625" style="3" bestFit="1" customWidth="1"/>
    <col min="10" max="10" width="8.6640625" style="3" customWidth="1"/>
    <col min="11" max="11" width="9.33203125" style="3" customWidth="1"/>
    <col min="12" max="12" width="15.83203125" style="15" bestFit="1" customWidth="1"/>
    <col min="13" max="13" width="10.33203125" style="14" customWidth="1"/>
    <col min="14" max="14" width="25.83203125" style="14" customWidth="1"/>
    <col min="15" max="15" width="12" style="14" bestFit="1" customWidth="1"/>
    <col min="16" max="16" width="12" style="3" bestFit="1" customWidth="1"/>
    <col min="17" max="17" width="12" style="5" bestFit="1" customWidth="1"/>
    <col min="18" max="18" width="11.6640625" style="3" bestFit="1" customWidth="1"/>
    <col min="19" max="19" width="10.33203125" style="3" customWidth="1"/>
    <col min="20" max="20" width="10" style="3" customWidth="1"/>
    <col min="21" max="21" width="11.1640625" style="3" customWidth="1"/>
    <col min="22" max="22" width="10.6640625" style="3" bestFit="1" customWidth="1"/>
    <col min="23" max="23" width="13.1640625" style="18" bestFit="1" customWidth="1"/>
    <col min="24" max="24" width="10.6640625" style="3" bestFit="1" customWidth="1"/>
    <col min="25" max="25" width="17.5" style="14" bestFit="1" customWidth="1"/>
    <col min="26" max="26" width="11.6640625" style="19" bestFit="1" customWidth="1"/>
    <col min="27" max="27" width="13.1640625" style="14" bestFit="1" customWidth="1"/>
    <col min="28" max="28" width="7.1640625" style="14" customWidth="1"/>
    <col min="29" max="30" width="11.1640625" style="14" customWidth="1"/>
    <col min="31" max="31" width="17.6640625" style="14" customWidth="1"/>
    <col min="32" max="32" width="7" style="14" customWidth="1"/>
    <col min="33" max="33" width="11.83203125" style="14" bestFit="1" customWidth="1"/>
    <col min="34" max="35" width="10.83203125" style="14" customWidth="1"/>
    <col min="36" max="36" width="11.1640625" style="14" customWidth="1"/>
    <col min="37" max="37" width="10.1640625" style="14" bestFit="1" customWidth="1"/>
    <col min="38" max="38" width="10.33203125" style="14" customWidth="1"/>
    <col min="39" max="39" width="10.1640625" style="14" customWidth="1"/>
    <col min="40" max="40" width="11.6640625" style="14" customWidth="1"/>
    <col min="41" max="41" width="7.1640625" style="14" customWidth="1"/>
    <col min="42" max="42" width="10.6640625" style="14" customWidth="1"/>
    <col min="43" max="45" width="7.1640625" style="14" customWidth="1"/>
    <col min="46" max="46" width="2.83203125" style="14" customWidth="1"/>
    <col min="47" max="47" width="7.1640625" style="14" customWidth="1"/>
    <col min="48" max="16384" width="7.1640625" style="14"/>
  </cols>
  <sheetData>
    <row r="1" spans="1:46" x14ac:dyDescent="0.2">
      <c r="N1" s="3"/>
      <c r="O1" s="3"/>
      <c r="Q1" s="16"/>
      <c r="R1" s="17"/>
    </row>
    <row r="2" spans="1:46" x14ac:dyDescent="0.2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N2" s="191" t="s">
        <v>0</v>
      </c>
      <c r="O2" s="191"/>
      <c r="P2" s="191"/>
      <c r="Q2" s="191"/>
      <c r="R2" s="191"/>
      <c r="S2" s="191"/>
      <c r="T2" s="191"/>
      <c r="U2" s="191"/>
      <c r="V2" s="191"/>
      <c r="W2" s="191"/>
      <c r="X2" s="191"/>
      <c r="Z2" s="20"/>
      <c r="AA2" s="21"/>
      <c r="AB2" s="22"/>
    </row>
    <row r="3" spans="1:46" x14ac:dyDescent="0.2">
      <c r="A3" s="191" t="s">
        <v>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N3" s="191" t="s">
        <v>2</v>
      </c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23"/>
      <c r="Z3" s="18"/>
      <c r="AT3" s="24"/>
    </row>
    <row r="4" spans="1:46" x14ac:dyDescent="0.2">
      <c r="A4" s="191" t="s">
        <v>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N4" s="17"/>
      <c r="O4" s="17"/>
      <c r="P4" s="17"/>
      <c r="Q4" s="16"/>
      <c r="R4" s="17"/>
      <c r="S4" s="17"/>
      <c r="T4" s="17"/>
      <c r="U4" s="17"/>
      <c r="V4" s="17"/>
      <c r="X4" s="17"/>
      <c r="Y4" s="23"/>
      <c r="Z4" s="25"/>
      <c r="AT4" s="24"/>
    </row>
    <row r="5" spans="1:46" ht="14.25" thickBot="1" x14ac:dyDescent="0.25">
      <c r="A5" s="26" t="s">
        <v>4</v>
      </c>
      <c r="B5" s="27"/>
      <c r="C5" s="17">
        <v>744</v>
      </c>
      <c r="D5" s="28"/>
      <c r="E5" s="28"/>
      <c r="F5" s="28"/>
      <c r="G5" s="27"/>
      <c r="H5" s="27"/>
      <c r="I5" s="26" t="s">
        <v>5</v>
      </c>
      <c r="J5" s="29">
        <v>2025</v>
      </c>
      <c r="L5" s="13" t="s">
        <v>25</v>
      </c>
      <c r="M5" s="17"/>
      <c r="N5" s="30" t="s">
        <v>4</v>
      </c>
      <c r="O5" s="27"/>
      <c r="P5" s="17">
        <f>C5</f>
        <v>744</v>
      </c>
      <c r="Q5" s="31"/>
      <c r="R5" s="28"/>
      <c r="S5" s="28"/>
      <c r="T5" s="27"/>
      <c r="U5" s="27"/>
      <c r="V5" s="27"/>
      <c r="X5" s="29"/>
      <c r="Y5" s="181" t="s">
        <v>25</v>
      </c>
      <c r="AF5" s="32"/>
      <c r="AT5" s="24"/>
    </row>
    <row r="6" spans="1:46" ht="15" thickTop="1" thickBot="1" x14ac:dyDescent="0.25">
      <c r="A6" s="33" t="s">
        <v>6</v>
      </c>
      <c r="B6" s="33" t="s">
        <v>7</v>
      </c>
      <c r="C6" s="33" t="s">
        <v>8</v>
      </c>
      <c r="D6" s="33" t="s">
        <v>9</v>
      </c>
      <c r="E6" s="33" t="s">
        <v>10</v>
      </c>
      <c r="F6" s="33" t="s">
        <v>11</v>
      </c>
      <c r="G6" s="33" t="s">
        <v>12</v>
      </c>
      <c r="H6" s="33" t="s">
        <v>13</v>
      </c>
      <c r="I6" s="34" t="s">
        <v>14</v>
      </c>
      <c r="J6" s="34" t="s">
        <v>15</v>
      </c>
      <c r="K6" s="17"/>
      <c r="L6" s="13" t="s">
        <v>120</v>
      </c>
      <c r="M6" s="17"/>
      <c r="N6" s="33" t="s">
        <v>6</v>
      </c>
      <c r="O6" s="33" t="s">
        <v>7</v>
      </c>
      <c r="P6" s="34" t="s">
        <v>16</v>
      </c>
      <c r="Q6" s="35" t="s">
        <v>17</v>
      </c>
      <c r="R6" s="34" t="s">
        <v>18</v>
      </c>
      <c r="S6" s="34" t="s">
        <v>19</v>
      </c>
      <c r="T6" s="34" t="s">
        <v>20</v>
      </c>
      <c r="U6" s="34" t="s">
        <v>21</v>
      </c>
      <c r="V6" s="34" t="s">
        <v>22</v>
      </c>
      <c r="W6" s="36" t="s">
        <v>23</v>
      </c>
      <c r="X6" s="34" t="s">
        <v>24</v>
      </c>
      <c r="Y6" s="181" t="s">
        <v>120</v>
      </c>
      <c r="Z6" s="7" t="s">
        <v>26</v>
      </c>
      <c r="AA6" s="3" t="s">
        <v>27</v>
      </c>
      <c r="AI6" s="37"/>
      <c r="AJ6" s="29"/>
      <c r="AT6" s="24"/>
    </row>
    <row r="7" spans="1:46" x14ac:dyDescent="0.2">
      <c r="A7" s="30"/>
      <c r="B7" s="3" t="s">
        <v>28</v>
      </c>
      <c r="C7" s="5">
        <f t="shared" ref="C7:C10" si="0">D7+E7</f>
        <v>703.7</v>
      </c>
      <c r="D7" s="5">
        <f>$C$5-(E7+F7+G7+H7)</f>
        <v>700.1</v>
      </c>
      <c r="E7" s="5">
        <v>3.6</v>
      </c>
      <c r="F7" s="5">
        <v>23</v>
      </c>
      <c r="G7" s="5">
        <v>0</v>
      </c>
      <c r="H7" s="6">
        <v>17.3</v>
      </c>
      <c r="I7" s="7">
        <v>16.84</v>
      </c>
      <c r="J7" s="38">
        <v>3</v>
      </c>
      <c r="K7" s="38"/>
      <c r="L7" s="39">
        <v>89334</v>
      </c>
      <c r="M7" s="14">
        <f t="shared" ref="M7:M12" si="1">D7+E7+F7+G7+H7+K7</f>
        <v>744</v>
      </c>
      <c r="N7" s="30"/>
      <c r="O7" s="3" t="s">
        <v>28</v>
      </c>
      <c r="P7" s="18">
        <f t="shared" ref="P7:P12" si="2">C7/$C$5*100</f>
        <v>94.583333333333343</v>
      </c>
      <c r="Q7" s="18">
        <f t="shared" ref="Q7:Q12" si="3">(C7-I7)*100/$C$5</f>
        <v>92.319892473118273</v>
      </c>
      <c r="R7" s="18">
        <f>73.21/100</f>
        <v>0.73209999999999997</v>
      </c>
      <c r="S7" s="5">
        <f t="shared" ref="S7:S12" si="4">(F7/$C$5)*100</f>
        <v>3.0913978494623655</v>
      </c>
      <c r="T7" s="5">
        <f t="shared" ref="T7:T12" si="5">IF((AND(D7=0,F7=0)),0,(F7+I7)/(D7+F7)*100)</f>
        <v>5.5096113953809986</v>
      </c>
      <c r="U7" s="18">
        <f t="shared" ref="U7:V12" si="6">G7*100/$C$5</f>
        <v>0</v>
      </c>
      <c r="V7" s="18">
        <f t="shared" si="6"/>
        <v>2.325268817204301</v>
      </c>
      <c r="W7" s="18">
        <f t="shared" ref="W7:W12" si="7">(F7/$C$5)*100</f>
        <v>3.0913978494623655</v>
      </c>
      <c r="X7" s="18">
        <f t="shared" ref="X7:X12" si="8">I7*100/$C$5</f>
        <v>2.263440860215054</v>
      </c>
      <c r="Y7" s="40">
        <f t="shared" ref="Y7:Y12" si="9">L7</f>
        <v>89334</v>
      </c>
      <c r="Z7" s="41">
        <v>160</v>
      </c>
      <c r="AA7" s="40">
        <f t="shared" ref="AA7:AA12" si="10">Z7*$C$5</f>
        <v>119040</v>
      </c>
      <c r="AT7" s="24"/>
    </row>
    <row r="8" spans="1:46" ht="14.45" customHeight="1" x14ac:dyDescent="0.2">
      <c r="A8" s="17"/>
      <c r="B8" s="3" t="s">
        <v>29</v>
      </c>
      <c r="C8" s="5">
        <f t="shared" si="0"/>
        <v>553</v>
      </c>
      <c r="D8" s="5">
        <f t="shared" ref="D8:D12" si="11">$C$5-(E8+F8+G8+H8)</f>
        <v>544.6</v>
      </c>
      <c r="E8" s="5">
        <v>8.4</v>
      </c>
      <c r="F8" s="5">
        <v>170.8</v>
      </c>
      <c r="G8" s="5">
        <v>0</v>
      </c>
      <c r="H8" s="5">
        <v>20.2</v>
      </c>
      <c r="I8" s="7">
        <v>98.65</v>
      </c>
      <c r="J8" s="42">
        <v>7</v>
      </c>
      <c r="K8" s="38"/>
      <c r="L8" s="39">
        <v>24064</v>
      </c>
      <c r="M8" s="14">
        <f t="shared" si="1"/>
        <v>744</v>
      </c>
      <c r="N8" s="30"/>
      <c r="O8" s="3" t="s">
        <v>30</v>
      </c>
      <c r="P8" s="18">
        <f t="shared" si="2"/>
        <v>74.327956989247312</v>
      </c>
      <c r="Q8" s="18">
        <f t="shared" si="3"/>
        <v>61.068548387096776</v>
      </c>
      <c r="R8" s="18">
        <f>57.76/100</f>
        <v>0.5776</v>
      </c>
      <c r="S8" s="5">
        <f t="shared" si="4"/>
        <v>22.956989247311828</v>
      </c>
      <c r="T8" s="5">
        <f t="shared" si="5"/>
        <v>37.664243779703668</v>
      </c>
      <c r="U8" s="18">
        <f t="shared" si="6"/>
        <v>0</v>
      </c>
      <c r="V8" s="18">
        <f t="shared" si="6"/>
        <v>2.71505376344086</v>
      </c>
      <c r="W8" s="18">
        <f t="shared" si="7"/>
        <v>22.956989247311828</v>
      </c>
      <c r="X8" s="18">
        <f t="shared" si="8"/>
        <v>13.259408602150538</v>
      </c>
      <c r="Y8" s="40">
        <f t="shared" si="9"/>
        <v>24064</v>
      </c>
      <c r="Z8" s="41">
        <v>60</v>
      </c>
      <c r="AA8" s="40">
        <f t="shared" si="10"/>
        <v>44640</v>
      </c>
      <c r="AG8" s="17"/>
      <c r="AH8" s="17"/>
      <c r="AI8" s="17"/>
      <c r="AJ8" s="17"/>
      <c r="AK8" s="17"/>
      <c r="AL8" s="17"/>
      <c r="AM8" s="30"/>
      <c r="AN8" s="17"/>
      <c r="AT8" s="24"/>
    </row>
    <row r="9" spans="1:46" ht="14.25" customHeight="1" x14ac:dyDescent="0.2">
      <c r="B9" s="43" t="s">
        <v>31</v>
      </c>
      <c r="C9" s="5">
        <f t="shared" si="0"/>
        <v>0</v>
      </c>
      <c r="D9" s="5">
        <f t="shared" si="11"/>
        <v>0</v>
      </c>
      <c r="E9" s="8">
        <v>0</v>
      </c>
      <c r="F9" s="8">
        <v>0</v>
      </c>
      <c r="G9" s="8">
        <v>744</v>
      </c>
      <c r="H9" s="8">
        <v>0</v>
      </c>
      <c r="I9" s="7">
        <v>0</v>
      </c>
      <c r="J9" s="9">
        <v>0</v>
      </c>
      <c r="K9" s="9"/>
      <c r="L9" s="44">
        <v>0</v>
      </c>
      <c r="M9" s="14">
        <f t="shared" si="1"/>
        <v>744</v>
      </c>
      <c r="O9" s="43" t="s">
        <v>31</v>
      </c>
      <c r="P9" s="18">
        <f t="shared" si="2"/>
        <v>0</v>
      </c>
      <c r="Q9" s="18">
        <f t="shared" si="3"/>
        <v>0</v>
      </c>
      <c r="R9" s="18">
        <f>0/100</f>
        <v>0</v>
      </c>
      <c r="S9" s="5">
        <f t="shared" si="4"/>
        <v>0</v>
      </c>
      <c r="T9" s="5">
        <f t="shared" si="5"/>
        <v>0</v>
      </c>
      <c r="U9" s="18">
        <f t="shared" si="6"/>
        <v>100</v>
      </c>
      <c r="V9" s="18">
        <f t="shared" si="6"/>
        <v>0</v>
      </c>
      <c r="W9" s="18">
        <f t="shared" si="7"/>
        <v>0</v>
      </c>
      <c r="X9" s="18">
        <f t="shared" si="8"/>
        <v>0</v>
      </c>
      <c r="Y9" s="40">
        <f t="shared" si="9"/>
        <v>0</v>
      </c>
      <c r="Z9" s="41">
        <v>160</v>
      </c>
      <c r="AA9" s="40">
        <f t="shared" si="10"/>
        <v>119040</v>
      </c>
      <c r="AG9" s="7"/>
      <c r="AH9" s="7"/>
      <c r="AI9" s="7"/>
      <c r="AJ9" s="7"/>
      <c r="AK9" s="7"/>
      <c r="AL9" s="7"/>
      <c r="AM9" s="19"/>
      <c r="AN9" s="7"/>
      <c r="AO9" s="45"/>
      <c r="AP9" s="46"/>
      <c r="AQ9" s="47"/>
      <c r="AR9" s="23"/>
      <c r="AT9" s="24"/>
    </row>
    <row r="10" spans="1:46" ht="14.25" customHeight="1" x14ac:dyDescent="0.2">
      <c r="A10" s="17" t="s">
        <v>32</v>
      </c>
      <c r="B10" s="43" t="s">
        <v>33</v>
      </c>
      <c r="C10" s="5">
        <f t="shared" si="0"/>
        <v>0</v>
      </c>
      <c r="D10" s="5">
        <f t="shared" si="11"/>
        <v>0</v>
      </c>
      <c r="E10" s="8">
        <v>0</v>
      </c>
      <c r="F10" s="8">
        <v>0</v>
      </c>
      <c r="G10" s="8">
        <v>744</v>
      </c>
      <c r="H10" s="8">
        <v>0</v>
      </c>
      <c r="I10" s="7">
        <v>0</v>
      </c>
      <c r="J10" s="9">
        <v>0</v>
      </c>
      <c r="K10" s="9"/>
      <c r="L10" s="44">
        <v>0</v>
      </c>
      <c r="M10" s="14">
        <f t="shared" si="1"/>
        <v>744</v>
      </c>
      <c r="N10" s="17" t="s">
        <v>32</v>
      </c>
      <c r="O10" s="43" t="s">
        <v>34</v>
      </c>
      <c r="P10" s="18">
        <f t="shared" si="2"/>
        <v>0</v>
      </c>
      <c r="Q10" s="18">
        <f t="shared" si="3"/>
        <v>0</v>
      </c>
      <c r="R10" s="18">
        <f>0/100</f>
        <v>0</v>
      </c>
      <c r="S10" s="5">
        <f t="shared" si="4"/>
        <v>0</v>
      </c>
      <c r="T10" s="5">
        <f t="shared" si="5"/>
        <v>0</v>
      </c>
      <c r="U10" s="18">
        <f t="shared" si="6"/>
        <v>100</v>
      </c>
      <c r="V10" s="18">
        <f t="shared" si="6"/>
        <v>0</v>
      </c>
      <c r="W10" s="18">
        <f t="shared" si="7"/>
        <v>0</v>
      </c>
      <c r="X10" s="18">
        <f t="shared" si="8"/>
        <v>0</v>
      </c>
      <c r="Y10" s="40">
        <f t="shared" si="9"/>
        <v>0</v>
      </c>
      <c r="Z10" s="41">
        <v>60</v>
      </c>
      <c r="AA10" s="40">
        <f t="shared" si="10"/>
        <v>44640</v>
      </c>
      <c r="AG10" s="7"/>
      <c r="AH10" s="7"/>
      <c r="AI10" s="7"/>
      <c r="AJ10" s="7"/>
      <c r="AK10" s="7"/>
      <c r="AL10" s="7"/>
      <c r="AM10" s="19"/>
      <c r="AN10" s="7"/>
      <c r="AO10" s="45"/>
      <c r="AP10" s="46"/>
      <c r="AQ10" s="48"/>
      <c r="AR10" s="23"/>
      <c r="AS10" s="22"/>
      <c r="AT10" s="24"/>
    </row>
    <row r="11" spans="1:46" x14ac:dyDescent="0.2">
      <c r="A11" s="17" t="s">
        <v>35</v>
      </c>
      <c r="B11" s="3" t="s">
        <v>36</v>
      </c>
      <c r="C11" s="5">
        <f>D11+E11</f>
        <v>0</v>
      </c>
      <c r="D11" s="5">
        <f t="shared" si="11"/>
        <v>0</v>
      </c>
      <c r="E11" s="8">
        <v>0</v>
      </c>
      <c r="F11" s="8">
        <v>0</v>
      </c>
      <c r="G11" s="8">
        <v>744</v>
      </c>
      <c r="H11" s="8">
        <v>0</v>
      </c>
      <c r="I11" s="7">
        <v>0</v>
      </c>
      <c r="J11" s="9">
        <v>0</v>
      </c>
      <c r="K11" s="9"/>
      <c r="L11" s="44">
        <v>0</v>
      </c>
      <c r="M11" s="14">
        <f t="shared" si="1"/>
        <v>744</v>
      </c>
      <c r="N11" s="17" t="s">
        <v>35</v>
      </c>
      <c r="O11" s="3">
        <v>7</v>
      </c>
      <c r="P11" s="18">
        <f t="shared" si="2"/>
        <v>0</v>
      </c>
      <c r="Q11" s="18">
        <f t="shared" si="3"/>
        <v>0</v>
      </c>
      <c r="R11" s="18">
        <f>0/100</f>
        <v>0</v>
      </c>
      <c r="S11" s="5">
        <f t="shared" si="4"/>
        <v>0</v>
      </c>
      <c r="T11" s="5">
        <f t="shared" si="5"/>
        <v>0</v>
      </c>
      <c r="U11" s="18">
        <f t="shared" si="6"/>
        <v>100</v>
      </c>
      <c r="V11" s="18">
        <f t="shared" si="6"/>
        <v>0</v>
      </c>
      <c r="W11" s="18">
        <f t="shared" si="7"/>
        <v>0</v>
      </c>
      <c r="X11" s="18">
        <f t="shared" si="8"/>
        <v>0</v>
      </c>
      <c r="Y11" s="40">
        <f t="shared" si="9"/>
        <v>0</v>
      </c>
      <c r="Z11" s="49">
        <v>100</v>
      </c>
      <c r="AA11" s="40">
        <f t="shared" si="10"/>
        <v>74400</v>
      </c>
      <c r="AG11" s="18"/>
      <c r="AH11" s="18"/>
      <c r="AI11" s="18"/>
      <c r="AJ11" s="18"/>
      <c r="AK11" s="18"/>
      <c r="AL11" s="18"/>
      <c r="AM11" s="19"/>
      <c r="AN11" s="7"/>
      <c r="AP11" s="46"/>
      <c r="AR11" s="23"/>
      <c r="AS11" s="22"/>
      <c r="AT11" s="24"/>
    </row>
    <row r="12" spans="1:46" x14ac:dyDescent="0.2">
      <c r="B12" s="3" t="s">
        <v>37</v>
      </c>
      <c r="C12" s="5">
        <f>D12+E12</f>
        <v>220.89999999999998</v>
      </c>
      <c r="D12" s="5">
        <f t="shared" si="11"/>
        <v>220.89999999999998</v>
      </c>
      <c r="E12" s="8">
        <v>0</v>
      </c>
      <c r="F12" s="8">
        <v>0</v>
      </c>
      <c r="G12" s="8">
        <v>0</v>
      </c>
      <c r="H12" s="8">
        <v>523.1</v>
      </c>
      <c r="I12" s="7">
        <v>0</v>
      </c>
      <c r="J12" s="9">
        <v>0</v>
      </c>
      <c r="K12" s="9"/>
      <c r="L12" s="44">
        <v>16272</v>
      </c>
      <c r="M12" s="14">
        <f t="shared" si="1"/>
        <v>744</v>
      </c>
      <c r="O12" s="3">
        <v>9</v>
      </c>
      <c r="P12" s="18">
        <f t="shared" si="2"/>
        <v>29.69086021505376</v>
      </c>
      <c r="Q12" s="18">
        <f t="shared" si="3"/>
        <v>29.690860215053757</v>
      </c>
      <c r="R12" s="18">
        <f>21.87/100</f>
        <v>0.21870000000000001</v>
      </c>
      <c r="S12" s="5">
        <f t="shared" si="4"/>
        <v>0</v>
      </c>
      <c r="T12" s="5">
        <f t="shared" si="5"/>
        <v>0</v>
      </c>
      <c r="U12" s="18">
        <f t="shared" si="6"/>
        <v>0</v>
      </c>
      <c r="V12" s="18">
        <f t="shared" si="6"/>
        <v>70.30913978494624</v>
      </c>
      <c r="W12" s="18">
        <f t="shared" si="7"/>
        <v>0</v>
      </c>
      <c r="X12" s="18">
        <f t="shared" si="8"/>
        <v>0</v>
      </c>
      <c r="Y12" s="40">
        <f t="shared" si="9"/>
        <v>16272</v>
      </c>
      <c r="Z12" s="49">
        <v>100</v>
      </c>
      <c r="AA12" s="40">
        <f t="shared" si="10"/>
        <v>74400</v>
      </c>
      <c r="AG12" s="7"/>
      <c r="AH12" s="7"/>
      <c r="AI12" s="7"/>
      <c r="AJ12" s="7"/>
      <c r="AK12" s="7"/>
      <c r="AL12" s="7"/>
      <c r="AM12" s="19"/>
      <c r="AN12" s="7"/>
      <c r="AO12" s="45"/>
      <c r="AP12" s="46"/>
      <c r="AR12" s="23"/>
      <c r="AS12" s="22"/>
      <c r="AT12" s="24"/>
    </row>
    <row r="13" spans="1:46" ht="14.45" customHeight="1" thickBot="1" x14ac:dyDescent="0.25">
      <c r="A13" s="50"/>
      <c r="B13" s="51" t="s">
        <v>38</v>
      </c>
      <c r="C13" s="4">
        <f>C7+C8+C9+C10+C11+C12</f>
        <v>1477.6</v>
      </c>
      <c r="D13" s="4">
        <f t="shared" ref="D13:I13" si="12">D7+D8+D9+D10+D11+D12</f>
        <v>1465.6</v>
      </c>
      <c r="E13" s="4">
        <f t="shared" si="12"/>
        <v>12</v>
      </c>
      <c r="F13" s="4">
        <f t="shared" si="12"/>
        <v>193.8</v>
      </c>
      <c r="G13" s="4">
        <f t="shared" si="12"/>
        <v>2232</v>
      </c>
      <c r="H13" s="4">
        <f t="shared" si="12"/>
        <v>560.6</v>
      </c>
      <c r="I13" s="4">
        <f t="shared" si="12"/>
        <v>115.49000000000001</v>
      </c>
      <c r="J13" s="4">
        <f>SUM(J7:J12)</f>
        <v>10</v>
      </c>
      <c r="L13" s="52">
        <f>L7+L8+L9+L10+L11+L12</f>
        <v>129670</v>
      </c>
      <c r="M13" s="14">
        <f>(D13+E13+F13+G13+H13)/6</f>
        <v>744</v>
      </c>
      <c r="N13" s="50"/>
      <c r="O13" s="51" t="s">
        <v>38</v>
      </c>
      <c r="P13" s="53">
        <f t="shared" ref="P13:X13" si="13">(P7*$Z$7+P8*$Z$8+P9*$Z$9+P10*$Z$10+P11*$Z$11+P12*$Z$12)/$Z$13</f>
        <v>35.253276209677423</v>
      </c>
      <c r="Q13" s="53">
        <f t="shared" si="13"/>
        <v>33.44434643817204</v>
      </c>
      <c r="R13" s="53">
        <f t="shared" si="13"/>
        <v>0.27134687499999999</v>
      </c>
      <c r="S13" s="53">
        <f t="shared" si="13"/>
        <v>2.925067204301075</v>
      </c>
      <c r="T13" s="53">
        <f t="shared" si="13"/>
        <v>4.908425703192469</v>
      </c>
      <c r="U13" s="53">
        <f t="shared" si="13"/>
        <v>50</v>
      </c>
      <c r="V13" s="53">
        <f t="shared" si="13"/>
        <v>11.821656586021506</v>
      </c>
      <c r="W13" s="53">
        <f t="shared" si="13"/>
        <v>2.925067204301075</v>
      </c>
      <c r="X13" s="53">
        <f t="shared" si="13"/>
        <v>1.8089297715053765</v>
      </c>
      <c r="Y13" s="40">
        <f>SUM(Y7:Y12)</f>
        <v>129670</v>
      </c>
      <c r="Z13" s="19">
        <f>SUM(Z7:Z12)</f>
        <v>640</v>
      </c>
      <c r="AA13" s="45">
        <f>SUM(AA7:AA12)/$C$5</f>
        <v>640</v>
      </c>
      <c r="AC13" s="30"/>
      <c r="AP13" s="46"/>
      <c r="AS13" s="22"/>
      <c r="AT13" s="24"/>
    </row>
    <row r="14" spans="1:46" ht="13.35" customHeight="1" x14ac:dyDescent="0.2">
      <c r="A14" s="54"/>
      <c r="B14" s="54"/>
      <c r="C14" s="55"/>
      <c r="D14" s="55"/>
      <c r="E14" s="55"/>
      <c r="F14" s="55"/>
      <c r="G14" s="55"/>
      <c r="H14" s="55"/>
      <c r="I14" s="55"/>
      <c r="J14" s="55"/>
      <c r="L14" s="52"/>
      <c r="N14" s="54"/>
      <c r="O14" s="54"/>
      <c r="P14" s="55"/>
      <c r="Q14" s="56"/>
      <c r="R14" s="55"/>
      <c r="S14" s="55"/>
      <c r="T14" s="55"/>
      <c r="U14" s="55"/>
      <c r="V14" s="55"/>
      <c r="W14" s="57"/>
      <c r="X14" s="55"/>
      <c r="Y14" s="40"/>
      <c r="AG14" s="3"/>
      <c r="AH14" s="3"/>
      <c r="AI14" s="3"/>
      <c r="AJ14" s="3"/>
      <c r="AK14" s="3"/>
      <c r="AL14" s="3"/>
      <c r="AM14" s="5"/>
      <c r="AP14" s="46"/>
      <c r="AS14" s="22"/>
      <c r="AT14" s="24"/>
    </row>
    <row r="15" spans="1:46" x14ac:dyDescent="0.2">
      <c r="A15" s="17" t="s">
        <v>40</v>
      </c>
      <c r="B15" s="3" t="s">
        <v>43</v>
      </c>
      <c r="C15" s="18">
        <f>$C$5-(F15+G15+H15)</f>
        <v>738.37</v>
      </c>
      <c r="D15" s="58">
        <f>$C$5-(E15+F15+G15+H15)</f>
        <v>738.37</v>
      </c>
      <c r="E15" s="58">
        <v>0</v>
      </c>
      <c r="F15" s="58">
        <v>5.63</v>
      </c>
      <c r="G15" s="58">
        <v>0</v>
      </c>
      <c r="H15" s="58">
        <v>0</v>
      </c>
      <c r="I15" s="58">
        <v>69.33</v>
      </c>
      <c r="J15" s="59">
        <v>0</v>
      </c>
      <c r="K15" s="59"/>
      <c r="L15" s="44">
        <v>106872</v>
      </c>
      <c r="M15" s="14">
        <f>D15+E15+F15+G15+H15+K15</f>
        <v>744</v>
      </c>
      <c r="N15" s="17" t="s">
        <v>121</v>
      </c>
      <c r="O15" s="3" t="s">
        <v>43</v>
      </c>
      <c r="P15" s="18">
        <f>(C15/$C$5)*100</f>
        <v>99.243279569892479</v>
      </c>
      <c r="Q15" s="18">
        <f>(C15-I15)*100/$C$5</f>
        <v>89.924731182795696</v>
      </c>
      <c r="R15" s="18">
        <f>66.5/100</f>
        <v>0.66500000000000004</v>
      </c>
      <c r="S15" s="3">
        <f>(F15/$C$5)*100</f>
        <v>0.75672043010752688</v>
      </c>
      <c r="T15" s="3">
        <f>IF((AND(D15=0,F15=0)),0,(F15+I15)/(D15+F15)*100)</f>
        <v>10.0752688172043</v>
      </c>
      <c r="U15" s="3">
        <f>(G15/$C$5)*100</f>
        <v>0</v>
      </c>
      <c r="V15" s="3">
        <f>(H15/$C$5)*100</f>
        <v>0</v>
      </c>
      <c r="W15" s="18">
        <f>(F15/$C$5)*100</f>
        <v>0.75672043010752688</v>
      </c>
      <c r="X15" s="18">
        <f>(I15/$C$5)*100</f>
        <v>9.318548387096774</v>
      </c>
      <c r="Y15" s="40">
        <f>L15</f>
        <v>106872</v>
      </c>
      <c r="Z15" s="49">
        <v>216</v>
      </c>
      <c r="AA15" s="40">
        <f>Z15*$C$5</f>
        <v>160704</v>
      </c>
      <c r="AC15" s="28"/>
      <c r="AG15" s="7"/>
      <c r="AH15" s="7"/>
      <c r="AI15" s="7"/>
      <c r="AJ15" s="7"/>
      <c r="AK15" s="7"/>
      <c r="AL15" s="7"/>
      <c r="AM15" s="7"/>
      <c r="AN15" s="45"/>
      <c r="AP15" s="46"/>
      <c r="AT15" s="24"/>
    </row>
    <row r="16" spans="1:46" x14ac:dyDescent="0.2">
      <c r="A16" s="17" t="s">
        <v>42</v>
      </c>
      <c r="B16" s="3" t="s">
        <v>44</v>
      </c>
      <c r="C16" s="18">
        <f>$C$5-(F16+G16+H16)</f>
        <v>0</v>
      </c>
      <c r="D16" s="60">
        <f t="shared" ref="D16" si="14">$C$5-(E16+F16+G16+H16)</f>
        <v>0</v>
      </c>
      <c r="E16" s="58">
        <v>0</v>
      </c>
      <c r="F16" s="58">
        <v>744</v>
      </c>
      <c r="G16" s="58">
        <v>0</v>
      </c>
      <c r="H16" s="58">
        <v>0</v>
      </c>
      <c r="I16" s="58">
        <v>0</v>
      </c>
      <c r="J16" s="59">
        <v>0</v>
      </c>
      <c r="K16" s="59"/>
      <c r="L16" s="44">
        <v>0</v>
      </c>
      <c r="M16" s="14">
        <f>D16+E16+F16+G16+H16+K16</f>
        <v>744</v>
      </c>
      <c r="N16" s="17" t="s">
        <v>42</v>
      </c>
      <c r="O16" s="3" t="s">
        <v>44</v>
      </c>
      <c r="P16" s="18">
        <f>(C16/$C$5)*100</f>
        <v>0</v>
      </c>
      <c r="Q16" s="18">
        <f>(C16-I16)*100/$C$5</f>
        <v>0</v>
      </c>
      <c r="R16" s="18">
        <f>0/100</f>
        <v>0</v>
      </c>
      <c r="S16" s="3">
        <f>(F16/$C$5)*100</f>
        <v>100</v>
      </c>
      <c r="T16" s="3">
        <f>IF((AND(D16=0,F16=0)),0,(F16+I16)/(D16+F16)*100)</f>
        <v>100</v>
      </c>
      <c r="U16" s="3">
        <f>(G16/$C$5)*100</f>
        <v>0</v>
      </c>
      <c r="V16" s="3">
        <f>(H16/$C$5)*100</f>
        <v>0</v>
      </c>
      <c r="W16" s="18">
        <f>(F16/$C$5)*100</f>
        <v>100</v>
      </c>
      <c r="X16" s="18">
        <f>(I16/$C$5)*100</f>
        <v>0</v>
      </c>
      <c r="Y16" s="40">
        <f>L16</f>
        <v>0</v>
      </c>
      <c r="Z16" s="49">
        <v>216</v>
      </c>
      <c r="AA16" s="40">
        <f>Z16*$C$5</f>
        <v>160704</v>
      </c>
      <c r="AG16" s="7"/>
      <c r="AH16" s="7"/>
      <c r="AI16" s="7"/>
      <c r="AJ16" s="7"/>
      <c r="AK16" s="7"/>
      <c r="AL16" s="7"/>
      <c r="AM16" s="7"/>
      <c r="AN16" s="45"/>
      <c r="AP16" s="46"/>
      <c r="AT16" s="24"/>
    </row>
    <row r="17" spans="1:46" ht="14.25" customHeight="1" thickBot="1" x14ac:dyDescent="0.25">
      <c r="A17" s="50"/>
      <c r="B17" s="51" t="s">
        <v>38</v>
      </c>
      <c r="C17" s="53">
        <f t="shared" ref="C17:J17" si="15">C15+C16</f>
        <v>738.37</v>
      </c>
      <c r="D17" s="61">
        <f t="shared" si="15"/>
        <v>738.37</v>
      </c>
      <c r="E17" s="53">
        <f t="shared" si="15"/>
        <v>0</v>
      </c>
      <c r="F17" s="53">
        <f t="shared" si="15"/>
        <v>749.63</v>
      </c>
      <c r="G17" s="53">
        <f t="shared" si="15"/>
        <v>0</v>
      </c>
      <c r="H17" s="53">
        <f t="shared" si="15"/>
        <v>0</v>
      </c>
      <c r="I17" s="53">
        <f t="shared" si="15"/>
        <v>69.33</v>
      </c>
      <c r="J17" s="4">
        <f t="shared" si="15"/>
        <v>0</v>
      </c>
      <c r="L17" s="52">
        <f>L15+L16</f>
        <v>106872</v>
      </c>
      <c r="M17" s="14">
        <f>(D17+E17+F17+G17+H17+K17)/2</f>
        <v>744</v>
      </c>
      <c r="N17" s="50"/>
      <c r="O17" s="51" t="s">
        <v>38</v>
      </c>
      <c r="P17" s="53">
        <f>(P15*Z15+P16*Z16)/Z17</f>
        <v>49.62163978494624</v>
      </c>
      <c r="Q17" s="62">
        <f>(((Q15*Z15)+(Q16*Z16))/Z17)</f>
        <v>44.962365591397848</v>
      </c>
      <c r="R17" s="53">
        <f>(R15*Z15+R16*Z16)/Z17</f>
        <v>0.33250000000000002</v>
      </c>
      <c r="S17" s="53">
        <f>(N(S15)*Z15+N(S16)*Z16)/Z17</f>
        <v>50.378360215053767</v>
      </c>
      <c r="T17" s="53">
        <f>(N(T15)*Z15+N(T16)*Z16)/Z17</f>
        <v>55.037634408602152</v>
      </c>
      <c r="U17" s="53">
        <f>(U15*Z15+U16*Z16)/Z17</f>
        <v>0</v>
      </c>
      <c r="V17" s="53">
        <f>(V15*Z15+V16*Z16)/Z17</f>
        <v>0</v>
      </c>
      <c r="W17" s="53">
        <f>(W15*Z15+W16*Z16)/Z17</f>
        <v>50.378360215053767</v>
      </c>
      <c r="X17" s="53">
        <f>(X15*Z15+X16*Z16)/Z17</f>
        <v>4.659274193548387</v>
      </c>
      <c r="Y17" s="40">
        <f>SUM(Y15:Y16)</f>
        <v>106872</v>
      </c>
      <c r="Z17" s="19">
        <f>SUM(Z15:Z16)</f>
        <v>432</v>
      </c>
      <c r="AA17" s="19">
        <f>SUM(AA15:AA16)/$C$5</f>
        <v>432</v>
      </c>
      <c r="AG17" s="7"/>
      <c r="AH17" s="7"/>
      <c r="AI17" s="7"/>
      <c r="AJ17" s="7"/>
      <c r="AK17" s="7"/>
      <c r="AL17" s="7"/>
      <c r="AM17" s="7"/>
      <c r="AN17" s="45"/>
      <c r="AT17" s="24"/>
    </row>
    <row r="18" spans="1:46" ht="15.75" customHeight="1" x14ac:dyDescent="0.2">
      <c r="A18" s="54"/>
      <c r="B18" s="54"/>
      <c r="C18" s="55"/>
      <c r="D18" s="55"/>
      <c r="E18" s="55"/>
      <c r="F18" s="55"/>
      <c r="G18" s="55"/>
      <c r="H18" s="55"/>
      <c r="I18" s="55"/>
      <c r="J18" s="55"/>
      <c r="L18" s="63"/>
      <c r="N18" s="54"/>
      <c r="O18" s="54"/>
      <c r="P18" s="55"/>
      <c r="Q18" s="56"/>
      <c r="R18" s="55"/>
      <c r="S18" s="55"/>
      <c r="T18" s="55"/>
      <c r="U18" s="55"/>
      <c r="V18" s="55"/>
      <c r="W18" s="57"/>
      <c r="X18" s="55"/>
      <c r="Y18" s="40"/>
      <c r="AE18" s="30"/>
      <c r="AF18" s="30"/>
      <c r="AG18" s="17"/>
      <c r="AH18" s="17"/>
      <c r="AI18" s="17"/>
      <c r="AJ18" s="17"/>
      <c r="AK18" s="30"/>
      <c r="AL18" s="17"/>
      <c r="AM18" s="5"/>
      <c r="AN18" s="45"/>
      <c r="AT18" s="24"/>
    </row>
    <row r="19" spans="1:46" x14ac:dyDescent="0.2">
      <c r="A19" s="17" t="s">
        <v>45</v>
      </c>
      <c r="B19" s="3" t="s">
        <v>47</v>
      </c>
      <c r="C19" s="18">
        <f>$C$5-(F19+G19+H19)</f>
        <v>696.08</v>
      </c>
      <c r="D19" s="58">
        <f>$C$5-(E19+F19+G19+H19)</f>
        <v>696.08</v>
      </c>
      <c r="E19" s="58">
        <v>0</v>
      </c>
      <c r="F19" s="58">
        <v>47.92</v>
      </c>
      <c r="G19" s="58">
        <v>0</v>
      </c>
      <c r="H19" s="58">
        <v>0</v>
      </c>
      <c r="I19" s="58">
        <v>395.01</v>
      </c>
      <c r="J19" s="59">
        <v>1</v>
      </c>
      <c r="K19" s="59"/>
      <c r="L19" s="64">
        <v>141480</v>
      </c>
      <c r="M19" s="14">
        <f>D19+E19+F19+G19+H19+K19</f>
        <v>744</v>
      </c>
      <c r="N19" s="17" t="s">
        <v>45</v>
      </c>
      <c r="O19" s="3" t="s">
        <v>47</v>
      </c>
      <c r="P19" s="3">
        <f>(C19/$C$5)*100</f>
        <v>93.55913978494624</v>
      </c>
      <c r="Q19" s="18">
        <f>(C19-I19)*100/$C$5</f>
        <v>40.466397849462368</v>
      </c>
      <c r="R19" s="18">
        <v>46</v>
      </c>
      <c r="S19" s="18">
        <f>IF((AND(D19=0,F19=0)),0,F19/(D19+F19)*100)</f>
        <v>6.440860215053763</v>
      </c>
      <c r="T19" s="3">
        <f>IF((AND(D19=0,F19=0)),0,(F19+I19)/(D19+F19)*100)</f>
        <v>59.533602150537632</v>
      </c>
      <c r="U19" s="18">
        <f>(G19/$C$5)*100</f>
        <v>0</v>
      </c>
      <c r="V19" s="18">
        <f>(H19/$C$5)*100</f>
        <v>0</v>
      </c>
      <c r="W19" s="18">
        <f>(F19/$C$5)*100</f>
        <v>6.440860215053763</v>
      </c>
      <c r="X19" s="18">
        <f>(I19/$C$5)*100</f>
        <v>53.092741935483865</v>
      </c>
      <c r="Y19" s="40">
        <f>L19</f>
        <v>141480</v>
      </c>
      <c r="Z19" s="49">
        <v>410</v>
      </c>
      <c r="AA19" s="40">
        <f>Z19*$C$5</f>
        <v>305040</v>
      </c>
      <c r="AH19" s="30"/>
      <c r="AK19" s="27"/>
      <c r="AT19" s="24"/>
    </row>
    <row r="20" spans="1:46" ht="15" customHeight="1" x14ac:dyDescent="0.2">
      <c r="A20" s="17" t="s">
        <v>46</v>
      </c>
      <c r="B20" s="3" t="s">
        <v>48</v>
      </c>
      <c r="C20" s="18">
        <f t="shared" ref="C20" si="16">$C$5-(F20+G20+H20)</f>
        <v>720.37</v>
      </c>
      <c r="D20" s="58">
        <f t="shared" ref="D20" si="17">$C$5-(E20+F20+G20+H20)</f>
        <v>720.37</v>
      </c>
      <c r="E20" s="58">
        <v>0</v>
      </c>
      <c r="F20" s="58">
        <v>23.63</v>
      </c>
      <c r="G20" s="58">
        <v>0</v>
      </c>
      <c r="H20" s="58">
        <v>0</v>
      </c>
      <c r="I20" s="58">
        <v>633.78</v>
      </c>
      <c r="J20" s="59">
        <v>1</v>
      </c>
      <c r="K20" s="59"/>
      <c r="L20" s="64">
        <v>192220</v>
      </c>
      <c r="M20" s="14">
        <f>D20+E20+F20+G20+H20+K20</f>
        <v>744</v>
      </c>
      <c r="N20" s="17" t="s">
        <v>46</v>
      </c>
      <c r="O20" s="3" t="s">
        <v>48</v>
      </c>
      <c r="P20" s="3">
        <f>(C20/$C$5)*100</f>
        <v>96.8239247311828</v>
      </c>
      <c r="Q20" s="18">
        <f>(C20-I20)*100/$C$5</f>
        <v>11.638440860215059</v>
      </c>
      <c r="R20" s="18">
        <v>63</v>
      </c>
      <c r="S20" s="18">
        <f>IF((AND(D20=0,F20=0)),0,F20/(D20+F20)*100)</f>
        <v>3.1760752688172045</v>
      </c>
      <c r="T20" s="3">
        <f>IF((AND(D20=0,F20=0)),0,(F20+I20)/(D20+F20)*100)</f>
        <v>88.361559139784944</v>
      </c>
      <c r="U20" s="18">
        <f>(G20/$C$5)*100</f>
        <v>0</v>
      </c>
      <c r="V20" s="18">
        <f>(H20/$C$5)*100</f>
        <v>0</v>
      </c>
      <c r="W20" s="18">
        <f>(F20/$C$5)*100</f>
        <v>3.1760752688172045</v>
      </c>
      <c r="X20" s="18">
        <f>(I20/$C$5)*100</f>
        <v>85.185483870967744</v>
      </c>
      <c r="Y20" s="40">
        <f>L20</f>
        <v>192220</v>
      </c>
      <c r="Z20" s="49">
        <v>410</v>
      </c>
      <c r="AA20" s="40">
        <f>Z20*$C$5</f>
        <v>305040</v>
      </c>
      <c r="AC20" s="30"/>
      <c r="AE20" s="30"/>
      <c r="AF20" s="30"/>
      <c r="AG20" s="17"/>
      <c r="AT20" s="24"/>
    </row>
    <row r="21" spans="1:46" ht="14.25" thickBot="1" x14ac:dyDescent="0.25">
      <c r="A21" s="50"/>
      <c r="B21" s="51" t="s">
        <v>38</v>
      </c>
      <c r="C21" s="4">
        <f t="shared" ref="C21:J21" si="18">C19+C20</f>
        <v>1416.45</v>
      </c>
      <c r="D21" s="4">
        <f t="shared" si="18"/>
        <v>1416.45</v>
      </c>
      <c r="E21" s="4">
        <f t="shared" si="18"/>
        <v>0</v>
      </c>
      <c r="F21" s="4">
        <f t="shared" si="18"/>
        <v>71.55</v>
      </c>
      <c r="G21" s="4">
        <f t="shared" si="18"/>
        <v>0</v>
      </c>
      <c r="H21" s="4">
        <f t="shared" si="18"/>
        <v>0</v>
      </c>
      <c r="I21" s="4">
        <f t="shared" si="18"/>
        <v>1028.79</v>
      </c>
      <c r="J21" s="4">
        <f t="shared" si="18"/>
        <v>2</v>
      </c>
      <c r="L21" s="65">
        <f>SUM(L19:L20)</f>
        <v>333700</v>
      </c>
      <c r="M21" s="14">
        <f>(D21+E21+F21+G21+H21+K21)/2</f>
        <v>744</v>
      </c>
      <c r="N21" s="50"/>
      <c r="O21" s="51" t="s">
        <v>38</v>
      </c>
      <c r="P21" s="53">
        <f>(P19*Z19+P20*Z20)/Z21</f>
        <v>95.191532258064527</v>
      </c>
      <c r="Q21" s="53">
        <f>((Q19*Z19)+(Q20*Z20))/Z21</f>
        <v>26.052419354838712</v>
      </c>
      <c r="R21" s="53">
        <f>(R19*Z19+R20*Z20)/Z21</f>
        <v>54.5</v>
      </c>
      <c r="S21" s="53">
        <f>(N(S19)*Z19+N(S20)*Z20)/Z21</f>
        <v>4.808467741935484</v>
      </c>
      <c r="T21" s="53">
        <f>(N(T19)*Z19+N(T20)*Z20)/Z21</f>
        <v>73.947580645161295</v>
      </c>
      <c r="U21" s="53">
        <f>(U19*Z19+U20*Z20)/Z21</f>
        <v>0</v>
      </c>
      <c r="V21" s="53">
        <f>(V19*Z19+V20*Z20)/Z21</f>
        <v>0</v>
      </c>
      <c r="W21" s="53">
        <f>(W19*Z19+W20*Z20)/Z21</f>
        <v>4.808467741935484</v>
      </c>
      <c r="X21" s="53">
        <f>(X19*Z19+X20*Z20)/Z21</f>
        <v>69.139112903225794</v>
      </c>
      <c r="Y21" s="40">
        <f>SUM(Y19:Y20)</f>
        <v>333700</v>
      </c>
      <c r="Z21" s="45">
        <f>SUM(Z19:Z20)</f>
        <v>820</v>
      </c>
      <c r="AA21" s="45">
        <f>SUM(AA19:AA20)/$C$5</f>
        <v>820</v>
      </c>
      <c r="AF21" s="30"/>
      <c r="AG21" s="16"/>
      <c r="AJ21" s="19"/>
      <c r="AK21" s="19"/>
      <c r="AL21" s="19"/>
      <c r="AT21" s="24"/>
    </row>
    <row r="22" spans="1:46" ht="8.4499999999999993" customHeight="1" x14ac:dyDescent="0.2">
      <c r="A22" s="54"/>
      <c r="B22" s="54"/>
      <c r="C22" s="55"/>
      <c r="D22" s="55"/>
      <c r="E22" s="55"/>
      <c r="F22" s="55"/>
      <c r="G22" s="55"/>
      <c r="H22" s="55"/>
      <c r="I22" s="55"/>
      <c r="J22" s="55"/>
      <c r="L22" s="65"/>
      <c r="N22" s="54"/>
      <c r="O22" s="54"/>
      <c r="P22" s="55"/>
      <c r="Q22" s="56"/>
      <c r="R22" s="55"/>
      <c r="S22" s="55"/>
      <c r="T22" s="55"/>
      <c r="U22" s="55"/>
      <c r="V22" s="55"/>
      <c r="W22" s="57"/>
      <c r="X22" s="55"/>
      <c r="Y22" s="40"/>
      <c r="AF22" s="30"/>
      <c r="AG22" s="16"/>
      <c r="AJ22" s="19"/>
      <c r="AK22" s="19"/>
      <c r="AL22" s="19"/>
      <c r="AT22" s="24"/>
    </row>
    <row r="23" spans="1:46" ht="15.75" customHeight="1" x14ac:dyDescent="0.2">
      <c r="A23" s="17" t="s">
        <v>49</v>
      </c>
      <c r="B23" s="3" t="s">
        <v>39</v>
      </c>
      <c r="C23" s="18">
        <f>$C$5-(F23+G23+H23)</f>
        <v>293.60000000000002</v>
      </c>
      <c r="D23" s="58">
        <f>$C$5-(E23+F23+G23+H23)</f>
        <v>293.60000000000002</v>
      </c>
      <c r="E23" s="58">
        <v>0</v>
      </c>
      <c r="F23" s="58">
        <v>360.43</v>
      </c>
      <c r="G23" s="58">
        <v>89.97</v>
      </c>
      <c r="H23" s="58">
        <v>0</v>
      </c>
      <c r="I23" s="58">
        <v>136.15</v>
      </c>
      <c r="J23" s="59">
        <v>5</v>
      </c>
      <c r="K23" s="59"/>
      <c r="L23" s="44">
        <v>67290</v>
      </c>
      <c r="M23" s="14">
        <f>D23+E23+F23+G23+H23+K23</f>
        <v>744</v>
      </c>
      <c r="O23" s="3" t="s">
        <v>39</v>
      </c>
      <c r="P23" s="3">
        <f>C23/$C$5*100</f>
        <v>39.462365591397855</v>
      </c>
      <c r="Q23" s="18">
        <f>(C23-I23)*100/$C$5</f>
        <v>21.162634408602152</v>
      </c>
      <c r="R23" s="18">
        <f>20.1/100</f>
        <v>0.20100000000000001</v>
      </c>
      <c r="S23" s="18">
        <f>IF((AND(D23=0,F23=0)),0,F23/(D23+F23)*100)</f>
        <v>55.109092855067807</v>
      </c>
      <c r="T23" s="18">
        <f>IF((AND(D23=0,F23=0)),0,(F23+I23)/(D23+F23)*100)</f>
        <v>75.92618075623443</v>
      </c>
      <c r="U23" s="18">
        <f>G23*100/$C$5</f>
        <v>12.09274193548387</v>
      </c>
      <c r="V23" s="18">
        <f>H23*100/$C$5</f>
        <v>0</v>
      </c>
      <c r="W23" s="18">
        <f>F23*100/$C$5</f>
        <v>48.44489247311828</v>
      </c>
      <c r="X23" s="18">
        <f>I23*100/$C$5</f>
        <v>18.2997311827957</v>
      </c>
      <c r="Y23" s="40">
        <f>L23</f>
        <v>67290</v>
      </c>
      <c r="Z23" s="49">
        <v>450</v>
      </c>
      <c r="AA23" s="40">
        <f>Z23*$C$5</f>
        <v>334800</v>
      </c>
      <c r="AF23" s="30"/>
      <c r="AG23" s="16"/>
      <c r="AJ23" s="19"/>
      <c r="AK23" s="19"/>
      <c r="AL23" s="19"/>
      <c r="AT23" s="24"/>
    </row>
    <row r="24" spans="1:46" s="68" customFormat="1" ht="13.5" customHeight="1" x14ac:dyDescent="0.2">
      <c r="A24" s="14"/>
      <c r="B24" s="3" t="s">
        <v>41</v>
      </c>
      <c r="C24" s="18">
        <v>0</v>
      </c>
      <c r="D24" s="58">
        <v>0</v>
      </c>
      <c r="E24" s="58">
        <v>0</v>
      </c>
      <c r="F24" s="58">
        <v>0</v>
      </c>
      <c r="G24" s="58">
        <v>744</v>
      </c>
      <c r="H24" s="58">
        <v>0</v>
      </c>
      <c r="I24" s="58">
        <v>0</v>
      </c>
      <c r="J24" s="59">
        <v>0</v>
      </c>
      <c r="K24" s="59"/>
      <c r="L24" s="44">
        <v>0</v>
      </c>
      <c r="M24" s="14">
        <f>D24+E24+F24+G24+H24+K24</f>
        <v>744</v>
      </c>
      <c r="N24" s="17" t="s">
        <v>49</v>
      </c>
      <c r="O24" s="66" t="s">
        <v>41</v>
      </c>
      <c r="P24" s="66">
        <f>C24/$C$5*100</f>
        <v>0</v>
      </c>
      <c r="Q24" s="67">
        <f>(C24-I24)*100/$C$5</f>
        <v>0</v>
      </c>
      <c r="R24" s="67">
        <f>0/100</f>
        <v>0</v>
      </c>
      <c r="S24" s="67">
        <f>IF((AND(D24=0,F24=0)),0,F24/(D24+F24)*100)</f>
        <v>0</v>
      </c>
      <c r="T24" s="67">
        <f>IF((AND(D24=0,F24=0)),0,(F24+I24)/(D24+F24)*100)</f>
        <v>0</v>
      </c>
      <c r="U24" s="67">
        <f>G24*100/$C$5</f>
        <v>100</v>
      </c>
      <c r="V24" s="67">
        <f>H24*100/$C$5</f>
        <v>0</v>
      </c>
      <c r="W24" s="67">
        <f>F24*100/$C$5</f>
        <v>0</v>
      </c>
      <c r="X24" s="67">
        <f>I24*100/$C$5</f>
        <v>0</v>
      </c>
      <c r="Y24" s="40">
        <f>L24</f>
        <v>0</v>
      </c>
      <c r="Z24" s="49">
        <v>450</v>
      </c>
      <c r="AA24" s="40">
        <f>Z24*$C$5</f>
        <v>334800</v>
      </c>
      <c r="AB24" s="14"/>
      <c r="AC24" s="14"/>
      <c r="AD24" s="14"/>
      <c r="AE24" s="14"/>
      <c r="AF24" s="30"/>
      <c r="AG24" s="16"/>
      <c r="AH24" s="14"/>
      <c r="AI24" s="14"/>
      <c r="AJ24" s="19"/>
      <c r="AK24" s="19"/>
      <c r="AL24" s="19"/>
      <c r="AM24" s="14"/>
      <c r="AN24" s="14"/>
      <c r="AO24" s="14"/>
      <c r="AP24" s="14"/>
      <c r="AQ24" s="14"/>
      <c r="AR24" s="14"/>
      <c r="AS24" s="14"/>
    </row>
    <row r="25" spans="1:46" ht="14.1" customHeight="1" x14ac:dyDescent="0.2">
      <c r="A25" s="17"/>
      <c r="B25" s="69" t="s">
        <v>38</v>
      </c>
      <c r="C25" s="70">
        <f t="shared" ref="C25:J25" si="19">C23+C24</f>
        <v>293.60000000000002</v>
      </c>
      <c r="D25" s="70">
        <f t="shared" si="19"/>
        <v>293.60000000000002</v>
      </c>
      <c r="E25" s="70">
        <f t="shared" si="19"/>
        <v>0</v>
      </c>
      <c r="F25" s="70">
        <f t="shared" si="19"/>
        <v>360.43</v>
      </c>
      <c r="G25" s="70">
        <f t="shared" si="19"/>
        <v>833.97</v>
      </c>
      <c r="H25" s="70">
        <f t="shared" si="19"/>
        <v>0</v>
      </c>
      <c r="I25" s="70">
        <f t="shared" si="19"/>
        <v>136.15</v>
      </c>
      <c r="J25" s="71">
        <f t="shared" si="19"/>
        <v>5</v>
      </c>
      <c r="L25" s="52">
        <f>SUM(L23:L24)</f>
        <v>67290</v>
      </c>
      <c r="M25" s="14">
        <f>(D25+E25+F25+G25+H25+K25)/2</f>
        <v>744</v>
      </c>
      <c r="O25" s="14" t="s">
        <v>38</v>
      </c>
      <c r="P25" s="3">
        <f>((P23*Z23)+(P24*Z24))/Z25</f>
        <v>19.731182795698928</v>
      </c>
      <c r="Q25" s="5">
        <f>((Q23*Z23)+(Q24*Z24))/Z25</f>
        <v>10.581317204301076</v>
      </c>
      <c r="R25" s="18">
        <f>(R23*Z23+R24*Z24)/Z25</f>
        <v>0.10050000000000001</v>
      </c>
      <c r="S25" s="18">
        <f>(N(S23)*Z23+N(S24)*Z24)/Z25</f>
        <v>27.554546427533904</v>
      </c>
      <c r="T25" s="18">
        <f>(N(T23)*Z23+N(T24)*Z24)/Z25</f>
        <v>37.963090378117222</v>
      </c>
      <c r="U25" s="18">
        <f>(U23*Z23+U24*Z24)/Z25</f>
        <v>56.046370967741936</v>
      </c>
      <c r="V25" s="18">
        <f>(V23*Z23+V24*Z24)/Z25</f>
        <v>0</v>
      </c>
      <c r="W25" s="18">
        <f>(W23*Z23+W24*Z24)/Z25</f>
        <v>24.22244623655914</v>
      </c>
      <c r="X25" s="18">
        <f>(X23*Z23+X24*Z24)/Z25</f>
        <v>9.1498655913978499</v>
      </c>
      <c r="Y25" s="40">
        <f>SUM(Y23:Y24)</f>
        <v>67290</v>
      </c>
      <c r="Z25" s="19">
        <f>SUM(Z23:Z24)</f>
        <v>900</v>
      </c>
      <c r="AA25" s="19">
        <f>SUM(AA23:AA24)/$C$5</f>
        <v>900</v>
      </c>
      <c r="AF25" s="30"/>
      <c r="AG25" s="16"/>
      <c r="AJ25" s="19"/>
      <c r="AK25" s="19"/>
      <c r="AL25" s="19"/>
      <c r="AT25" s="24"/>
    </row>
    <row r="26" spans="1:46" ht="13.35" customHeight="1" thickBot="1" x14ac:dyDescent="0.25">
      <c r="L26" s="52"/>
      <c r="Y26" s="40"/>
      <c r="AF26" s="30"/>
      <c r="AG26" s="16"/>
      <c r="AJ26" s="19"/>
      <c r="AK26" s="19"/>
      <c r="AL26" s="19"/>
      <c r="AT26" s="24"/>
    </row>
    <row r="27" spans="1:46" ht="15" thickTop="1" thickBot="1" x14ac:dyDescent="0.25">
      <c r="A27" s="72" t="s">
        <v>50</v>
      </c>
      <c r="B27" s="72"/>
      <c r="C27" s="73">
        <f t="shared" ref="C27:J27" si="20">C13+C17+C21+C25</f>
        <v>3926.02</v>
      </c>
      <c r="D27" s="73">
        <f t="shared" si="20"/>
        <v>3914.02</v>
      </c>
      <c r="E27" s="73">
        <f t="shared" si="20"/>
        <v>12</v>
      </c>
      <c r="F27" s="73">
        <f t="shared" si="20"/>
        <v>1375.41</v>
      </c>
      <c r="G27" s="73">
        <f t="shared" si="20"/>
        <v>3065.9700000000003</v>
      </c>
      <c r="H27" s="73">
        <f t="shared" si="20"/>
        <v>560.6</v>
      </c>
      <c r="I27" s="73">
        <f t="shared" si="20"/>
        <v>1349.76</v>
      </c>
      <c r="J27" s="73">
        <f t="shared" si="20"/>
        <v>17</v>
      </c>
      <c r="K27" s="38"/>
      <c r="L27" s="52">
        <f>L13+L17+L21+L25</f>
        <v>637532</v>
      </c>
      <c r="M27" s="14">
        <f>(D27+E27+F27+G27+H27)/12</f>
        <v>744.00000000000011</v>
      </c>
      <c r="N27" s="72" t="s">
        <v>50</v>
      </c>
      <c r="O27" s="72"/>
      <c r="P27" s="74">
        <f>(P13*Z13+P17*Z17+P21*Z21+P25*Z25)/Z27</f>
        <v>50.076563799796659</v>
      </c>
      <c r="Q27" s="75">
        <f>((Q13*Z13)+(Q17*Z17)+(Q21*Z21)+(Q25*Z25))/Z27</f>
        <v>25.685635032504546</v>
      </c>
      <c r="R27" s="74">
        <f>(R13*Z13+R17*Z17+R21*Z21+R25*Z25)/Z27</f>
        <v>16.152489971346704</v>
      </c>
      <c r="S27" s="74">
        <f>((S13*Z13)+(S17*Z17)+(S21*Z21)+(S25*Z25))/Z27</f>
        <v>18.759860299721893</v>
      </c>
      <c r="T27" s="74">
        <f>((T13*Z13)+(T17*Z17)+(T21*Z21)+(T25*Z25))/Z27</f>
        <v>43.596507157556253</v>
      </c>
      <c r="U27" s="74">
        <f>(U13*Z13+U17*Z17+U21*Z21+U25*Z25)/Z27</f>
        <v>29.52784164432942</v>
      </c>
      <c r="V27" s="74">
        <f>(V13*Z13+V17*Z17+V21*Z21+V25*Z25)/Z27</f>
        <v>2.7098353205779957</v>
      </c>
      <c r="W27" s="76">
        <f>(W13*Z13+W17*Z17+W21*Z21+W25*Z25)/Z27</f>
        <v>17.685759235295929</v>
      </c>
      <c r="X27" s="74">
        <f>(X13*Z13+X17*Z17+X21*Z21+X25*Z25)/Z27</f>
        <v>24.39092876729211</v>
      </c>
      <c r="Y27" s="40">
        <f>Y13+Y17+Y21+Y25</f>
        <v>637532</v>
      </c>
      <c r="Z27" s="45">
        <f>Z25+Z21+Z17+Z13</f>
        <v>2792</v>
      </c>
      <c r="AG27" s="16"/>
      <c r="AT27" s="24"/>
    </row>
    <row r="28" spans="1:46" ht="14.25" thickTop="1" x14ac:dyDescent="0.2">
      <c r="L28" s="63"/>
      <c r="Y28" s="40"/>
      <c r="AE28" s="30"/>
      <c r="AF28" s="30"/>
      <c r="AG28" s="16"/>
      <c r="AJ28" s="19"/>
      <c r="AK28" s="19"/>
      <c r="AL28" s="19"/>
      <c r="AT28" s="24"/>
    </row>
    <row r="29" spans="1:46" ht="15" x14ac:dyDescent="0.2">
      <c r="D29" s="28"/>
      <c r="E29" s="27"/>
      <c r="F29" s="27"/>
      <c r="G29" s="27"/>
      <c r="H29" s="27"/>
      <c r="L29" s="63"/>
      <c r="R29" s="27"/>
      <c r="S29" s="28"/>
      <c r="T29" s="27"/>
      <c r="U29" s="27"/>
      <c r="V29" s="27"/>
      <c r="W29" s="77"/>
      <c r="Y29" s="40"/>
      <c r="AH29" s="190"/>
      <c r="AI29" s="190"/>
      <c r="AJ29" s="190"/>
      <c r="AK29" s="190"/>
      <c r="AL29" s="190"/>
      <c r="AM29" s="79"/>
      <c r="AN29" s="79"/>
      <c r="AT29" s="24"/>
    </row>
    <row r="30" spans="1:46" ht="15" x14ac:dyDescent="0.2">
      <c r="A30" s="28" t="s">
        <v>51</v>
      </c>
      <c r="B30" s="27"/>
      <c r="C30" s="27"/>
      <c r="D30" s="80"/>
      <c r="E30" s="27"/>
      <c r="F30" s="27"/>
      <c r="G30" s="27"/>
      <c r="H30" s="27"/>
      <c r="I30" s="27"/>
      <c r="J30" s="27"/>
      <c r="K30" s="27"/>
      <c r="L30" s="81"/>
      <c r="N30" s="28" t="s">
        <v>51</v>
      </c>
      <c r="O30" s="27"/>
      <c r="P30" s="27"/>
      <c r="Q30" s="82"/>
      <c r="R30" s="27"/>
      <c r="S30" s="28"/>
      <c r="T30" s="27"/>
      <c r="U30" s="27"/>
      <c r="V30" s="27"/>
      <c r="W30" s="77"/>
      <c r="X30" s="27"/>
      <c r="Y30" s="40"/>
      <c r="AH30" s="83"/>
      <c r="AI30" s="83"/>
      <c r="AJ30" s="83"/>
      <c r="AK30" s="83"/>
      <c r="AL30" s="83"/>
      <c r="AM30" s="79"/>
      <c r="AN30" s="79"/>
      <c r="AT30" s="24"/>
    </row>
    <row r="31" spans="1:46" ht="15" x14ac:dyDescent="0.2">
      <c r="A31" s="28" t="s">
        <v>1</v>
      </c>
      <c r="B31" s="27"/>
      <c r="C31" s="27"/>
      <c r="D31" s="80"/>
      <c r="E31" s="27"/>
      <c r="F31" s="27"/>
      <c r="G31" s="27"/>
      <c r="H31" s="27"/>
      <c r="I31" s="27"/>
      <c r="J31" s="27"/>
      <c r="K31" s="27"/>
      <c r="L31" s="81"/>
      <c r="N31" s="28" t="s">
        <v>2</v>
      </c>
      <c r="O31" s="27"/>
      <c r="P31" s="27"/>
      <c r="Q31" s="82"/>
      <c r="R31" s="27"/>
      <c r="S31" s="28"/>
      <c r="T31" s="27"/>
      <c r="U31" s="27"/>
      <c r="V31" s="27"/>
      <c r="W31" s="77"/>
      <c r="X31" s="27"/>
      <c r="Y31" s="40"/>
      <c r="AH31" s="79"/>
      <c r="AI31" s="79"/>
      <c r="AJ31" s="79"/>
      <c r="AK31" s="79"/>
      <c r="AL31" s="79"/>
      <c r="AM31" s="79"/>
      <c r="AN31" s="79"/>
      <c r="AT31" s="24"/>
    </row>
    <row r="32" spans="1:46" ht="15" x14ac:dyDescent="0.2">
      <c r="A32" s="28" t="s">
        <v>3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81"/>
      <c r="N32" s="28"/>
      <c r="O32" s="27"/>
      <c r="P32" s="27"/>
      <c r="Q32" s="82"/>
      <c r="R32" s="27"/>
      <c r="S32" s="27"/>
      <c r="T32" s="27"/>
      <c r="U32" s="27"/>
      <c r="V32" s="27"/>
      <c r="W32" s="77"/>
      <c r="X32" s="27"/>
      <c r="Y32" s="40"/>
      <c r="AH32" s="79"/>
      <c r="AI32" s="79"/>
      <c r="AJ32" s="79"/>
      <c r="AK32" s="79"/>
      <c r="AL32" s="79"/>
      <c r="AM32" s="79"/>
      <c r="AN32" s="79"/>
      <c r="AT32" s="24"/>
    </row>
    <row r="33" spans="1:46" ht="15" x14ac:dyDescent="0.2">
      <c r="L33" s="81"/>
      <c r="Y33" s="40"/>
      <c r="AH33" s="79"/>
      <c r="AI33" s="78"/>
      <c r="AJ33" s="78"/>
      <c r="AK33" s="78"/>
      <c r="AL33" s="78"/>
      <c r="AM33" s="78"/>
      <c r="AN33" s="78"/>
      <c r="AT33" s="24"/>
    </row>
    <row r="34" spans="1:46" ht="14.25" customHeight="1" thickBot="1" x14ac:dyDescent="0.25">
      <c r="A34" s="30" t="s">
        <v>52</v>
      </c>
      <c r="C34" s="17">
        <f>C5</f>
        <v>744</v>
      </c>
      <c r="H34" s="14"/>
      <c r="J34" s="37"/>
      <c r="K34" s="37"/>
      <c r="L34" s="13" t="s">
        <v>25</v>
      </c>
      <c r="N34" s="30" t="s">
        <v>52</v>
      </c>
      <c r="P34" s="17">
        <f>P5</f>
        <v>744</v>
      </c>
      <c r="Y34" s="181" t="s">
        <v>25</v>
      </c>
      <c r="AT34" s="24"/>
    </row>
    <row r="35" spans="1:46" ht="15" thickTop="1" thickBot="1" x14ac:dyDescent="0.25">
      <c r="A35" s="84" t="s">
        <v>6</v>
      </c>
      <c r="B35" s="85" t="s">
        <v>7</v>
      </c>
      <c r="C35" s="85" t="s">
        <v>8</v>
      </c>
      <c r="D35" s="85" t="s">
        <v>9</v>
      </c>
      <c r="E35" s="85" t="s">
        <v>10</v>
      </c>
      <c r="F35" s="85" t="s">
        <v>11</v>
      </c>
      <c r="G35" s="85" t="s">
        <v>12</v>
      </c>
      <c r="H35" s="85" t="s">
        <v>13</v>
      </c>
      <c r="I35" s="85" t="s">
        <v>14</v>
      </c>
      <c r="J35" s="86" t="s">
        <v>15</v>
      </c>
      <c r="K35" s="17"/>
      <c r="L35" s="13" t="s">
        <v>120</v>
      </c>
      <c r="N35" s="33" t="s">
        <v>6</v>
      </c>
      <c r="O35" s="33" t="s">
        <v>7</v>
      </c>
      <c r="P35" s="34" t="s">
        <v>16</v>
      </c>
      <c r="Q35" s="35" t="s">
        <v>17</v>
      </c>
      <c r="R35" s="34" t="s">
        <v>18</v>
      </c>
      <c r="S35" s="34" t="s">
        <v>19</v>
      </c>
      <c r="T35" s="34" t="s">
        <v>20</v>
      </c>
      <c r="U35" s="34" t="s">
        <v>21</v>
      </c>
      <c r="V35" s="34" t="s">
        <v>22</v>
      </c>
      <c r="W35" s="36" t="s">
        <v>23</v>
      </c>
      <c r="X35" s="34" t="s">
        <v>24</v>
      </c>
      <c r="Y35" s="181" t="s">
        <v>120</v>
      </c>
      <c r="Z35" s="19" t="s">
        <v>53</v>
      </c>
      <c r="AA35" s="3" t="s">
        <v>27</v>
      </c>
      <c r="AT35" s="24"/>
    </row>
    <row r="36" spans="1:46" ht="14.1" customHeight="1" x14ac:dyDescent="0.2">
      <c r="B36" s="14" t="s">
        <v>54</v>
      </c>
      <c r="C36" s="18">
        <f>$C$5-(F36+G36+H36)</f>
        <v>0</v>
      </c>
      <c r="D36" s="58">
        <f>$C$5-(E36+F36+G36+H36)</f>
        <v>0</v>
      </c>
      <c r="E36" s="58">
        <v>0</v>
      </c>
      <c r="F36" s="58">
        <v>744</v>
      </c>
      <c r="G36" s="58">
        <v>0</v>
      </c>
      <c r="H36" s="58">
        <v>0</v>
      </c>
      <c r="I36" s="58">
        <v>0</v>
      </c>
      <c r="J36" s="59">
        <v>1</v>
      </c>
      <c r="K36" s="59"/>
      <c r="L36" s="44">
        <v>0</v>
      </c>
      <c r="M36" s="14">
        <f>D36+E36+F36+G36+H36+K36</f>
        <v>744</v>
      </c>
      <c r="O36" s="14" t="s">
        <v>54</v>
      </c>
      <c r="P36" s="18">
        <f>C36/$C$5*100</f>
        <v>0</v>
      </c>
      <c r="Q36" s="18">
        <f>(C36-I36)*100/$C$5</f>
        <v>0</v>
      </c>
      <c r="R36" s="87">
        <f>(Y36*100)/($C$5*Z36)</f>
        <v>0</v>
      </c>
      <c r="S36" s="3">
        <f>IF((AND(D36=0,F36=0)),0,F36/(D36+F36)*100)</f>
        <v>100</v>
      </c>
      <c r="T36" s="3">
        <f>AE40</f>
        <v>0</v>
      </c>
      <c r="U36" s="18">
        <f t="shared" ref="U36:V40" si="21">G36*100/$C$5</f>
        <v>0</v>
      </c>
      <c r="V36" s="18">
        <f t="shared" si="21"/>
        <v>0</v>
      </c>
      <c r="W36" s="18">
        <f>F36*100/$C$5</f>
        <v>100</v>
      </c>
      <c r="X36" s="18">
        <f>I36*100/$C$5</f>
        <v>0</v>
      </c>
      <c r="Y36" s="40">
        <f>L36</f>
        <v>0</v>
      </c>
      <c r="Z36" s="49">
        <v>96</v>
      </c>
      <c r="AA36" s="40">
        <f t="shared" ref="AA36:AA40" si="22">Z36*$C$5</f>
        <v>71424</v>
      </c>
      <c r="AT36" s="24"/>
    </row>
    <row r="37" spans="1:46" x14ac:dyDescent="0.2">
      <c r="A37" s="17" t="s">
        <v>55</v>
      </c>
      <c r="B37" s="14" t="s">
        <v>56</v>
      </c>
      <c r="C37" s="18">
        <f t="shared" ref="C37:C39" si="23">$C$5-(F37+G37+H37)</f>
        <v>737.9</v>
      </c>
      <c r="D37" s="58">
        <f>$C$5-(E37+F37+G37+H37)</f>
        <v>343</v>
      </c>
      <c r="E37" s="58">
        <v>394.9</v>
      </c>
      <c r="F37" s="58">
        <v>6.1</v>
      </c>
      <c r="G37" s="58">
        <v>0</v>
      </c>
      <c r="H37" s="58">
        <v>0</v>
      </c>
      <c r="I37" s="58">
        <v>0</v>
      </c>
      <c r="J37" s="59">
        <v>4</v>
      </c>
      <c r="K37" s="59"/>
      <c r="L37" s="44">
        <v>11457</v>
      </c>
      <c r="M37" s="14">
        <f>D37+E37+F37+G37+H37+K37</f>
        <v>744</v>
      </c>
      <c r="N37" s="17" t="s">
        <v>55</v>
      </c>
      <c r="O37" s="3" t="s">
        <v>56</v>
      </c>
      <c r="P37" s="18">
        <f>C37/$C$5*100</f>
        <v>99.180107526881727</v>
      </c>
      <c r="Q37" s="18">
        <f>(C37-I37)*100/$C$5</f>
        <v>99.180107526881727</v>
      </c>
      <c r="R37" s="87">
        <f>(Y37*100)/($C$5*Z37)</f>
        <v>30.798387096774192</v>
      </c>
      <c r="S37" s="3">
        <f>IF((AND(D37=0,F37=0)),0,F37/(D37+F37)*100)</f>
        <v>1.7473503294185047</v>
      </c>
      <c r="T37" s="3">
        <f>AE41</f>
        <v>0</v>
      </c>
      <c r="U37" s="18">
        <f t="shared" si="21"/>
        <v>0</v>
      </c>
      <c r="V37" s="18">
        <f t="shared" si="21"/>
        <v>0</v>
      </c>
      <c r="W37" s="18">
        <f>F37*100/$C$5</f>
        <v>0.81989247311827962</v>
      </c>
      <c r="X37" s="18">
        <f>I37*100/$C$5</f>
        <v>0</v>
      </c>
      <c r="Y37" s="40">
        <f>L37</f>
        <v>11457</v>
      </c>
      <c r="Z37" s="49">
        <v>50</v>
      </c>
      <c r="AA37" s="40">
        <f t="shared" si="22"/>
        <v>37200</v>
      </c>
      <c r="AT37" s="24"/>
    </row>
    <row r="38" spans="1:46" x14ac:dyDescent="0.2">
      <c r="A38" s="17" t="s">
        <v>57</v>
      </c>
      <c r="B38" s="14" t="s">
        <v>58</v>
      </c>
      <c r="C38" s="18">
        <f t="shared" si="23"/>
        <v>385.1</v>
      </c>
      <c r="D38" s="58">
        <f t="shared" ref="D38:D39" si="24">$C$5-(E38+F38+G38+H38)</f>
        <v>208</v>
      </c>
      <c r="E38" s="58">
        <v>177.1</v>
      </c>
      <c r="F38" s="58">
        <v>358.9</v>
      </c>
      <c r="G38" s="58">
        <v>0</v>
      </c>
      <c r="H38" s="58">
        <v>0</v>
      </c>
      <c r="I38" s="58">
        <v>0</v>
      </c>
      <c r="J38" s="59">
        <v>5</v>
      </c>
      <c r="K38" s="59"/>
      <c r="L38" s="44">
        <v>7096</v>
      </c>
      <c r="M38" s="14">
        <f>D38+E38+F38+G38+H38+K38</f>
        <v>744</v>
      </c>
      <c r="N38" s="17" t="s">
        <v>57</v>
      </c>
      <c r="O38" s="3" t="s">
        <v>58</v>
      </c>
      <c r="P38" s="18">
        <f>C38/$C$5*100</f>
        <v>51.760752688172055</v>
      </c>
      <c r="Q38" s="18">
        <f>(C38-I38)*100/$C$5</f>
        <v>51.76075268817204</v>
      </c>
      <c r="R38" s="87">
        <f>(Y38*100)/($C$5*Z38)</f>
        <v>19.0752688172043</v>
      </c>
      <c r="S38" s="3">
        <f>IF((AND(D38=0,F38=0)),0,F38/(D38+F38)*100)</f>
        <v>63.309225612982885</v>
      </c>
      <c r="T38" s="3">
        <f>AE42</f>
        <v>0</v>
      </c>
      <c r="U38" s="18">
        <f t="shared" si="21"/>
        <v>0</v>
      </c>
      <c r="V38" s="18">
        <f t="shared" si="21"/>
        <v>0</v>
      </c>
      <c r="W38" s="18">
        <f>F38*100/$C$5</f>
        <v>48.23924731182796</v>
      </c>
      <c r="X38" s="18">
        <f>I38*100/$C$5</f>
        <v>0</v>
      </c>
      <c r="Y38" s="40">
        <f>L38</f>
        <v>7096</v>
      </c>
      <c r="Z38" s="49">
        <v>50</v>
      </c>
      <c r="AA38" s="40">
        <f t="shared" si="22"/>
        <v>37200</v>
      </c>
      <c r="AT38" s="24"/>
    </row>
    <row r="39" spans="1:46" x14ac:dyDescent="0.2">
      <c r="A39" s="17" t="s">
        <v>59</v>
      </c>
      <c r="B39" s="14" t="s">
        <v>60</v>
      </c>
      <c r="C39" s="18">
        <f t="shared" si="23"/>
        <v>0</v>
      </c>
      <c r="D39" s="58">
        <f t="shared" si="24"/>
        <v>0</v>
      </c>
      <c r="E39" s="58">
        <v>0</v>
      </c>
      <c r="F39" s="58">
        <v>0</v>
      </c>
      <c r="G39" s="58">
        <v>744</v>
      </c>
      <c r="H39" s="58">
        <v>0</v>
      </c>
      <c r="I39" s="58">
        <v>0</v>
      </c>
      <c r="J39" s="59">
        <v>0</v>
      </c>
      <c r="K39" s="59"/>
      <c r="L39" s="44">
        <v>0</v>
      </c>
      <c r="M39" s="14">
        <f>D39+E39+F39+G39+H39+K39</f>
        <v>744</v>
      </c>
      <c r="N39" s="17" t="s">
        <v>59</v>
      </c>
      <c r="O39" s="3" t="s">
        <v>60</v>
      </c>
      <c r="P39" s="18">
        <f>C39/$C$5*100</f>
        <v>0</v>
      </c>
      <c r="Q39" s="18">
        <f>(C39-I39)*100/$C$5</f>
        <v>0</v>
      </c>
      <c r="R39" s="87">
        <f>(Y39*100)/($C$5*Z39)</f>
        <v>0</v>
      </c>
      <c r="S39" s="3">
        <f>IF((AND(D39=0,F39=0)),0,F39/(D39+F39)*100)</f>
        <v>0</v>
      </c>
      <c r="T39" s="3">
        <f>AE43</f>
        <v>0</v>
      </c>
      <c r="U39" s="18">
        <f t="shared" si="21"/>
        <v>100</v>
      </c>
      <c r="V39" s="18">
        <f t="shared" si="21"/>
        <v>0</v>
      </c>
      <c r="W39" s="18">
        <f>F39*100/$C$5</f>
        <v>0</v>
      </c>
      <c r="X39" s="18">
        <f>I39*100/$C$5</f>
        <v>0</v>
      </c>
      <c r="Y39" s="40">
        <f>L39</f>
        <v>0</v>
      </c>
      <c r="Z39" s="49">
        <v>50</v>
      </c>
      <c r="AA39" s="40">
        <f t="shared" si="22"/>
        <v>37200</v>
      </c>
      <c r="AD39" s="17"/>
      <c r="AE39" s="17"/>
      <c r="AT39" s="24"/>
    </row>
    <row r="40" spans="1:46" ht="12.75" customHeight="1" x14ac:dyDescent="0.2">
      <c r="B40" s="14" t="s">
        <v>61</v>
      </c>
      <c r="C40" s="67">
        <f>$C$5-(F40+G40+H40)</f>
        <v>523.20000000000005</v>
      </c>
      <c r="D40" s="58">
        <f>$C$5-(E40+F40+G40+H40)</f>
        <v>247</v>
      </c>
      <c r="E40" s="58">
        <v>276.2</v>
      </c>
      <c r="F40" s="58">
        <v>220.8</v>
      </c>
      <c r="G40" s="58">
        <v>0</v>
      </c>
      <c r="H40" s="58">
        <v>0</v>
      </c>
      <c r="I40" s="58">
        <v>0</v>
      </c>
      <c r="J40" s="59">
        <v>3</v>
      </c>
      <c r="K40" s="59"/>
      <c r="L40" s="44">
        <v>7790</v>
      </c>
      <c r="M40" s="14">
        <f>D40+E40+F40+G40+H40+K40</f>
        <v>744</v>
      </c>
      <c r="O40" s="3" t="s">
        <v>61</v>
      </c>
      <c r="P40" s="18">
        <f>C40/$C$5*100</f>
        <v>70.322580645161295</v>
      </c>
      <c r="Q40" s="18">
        <f>(C40-I40)*100/$C$5</f>
        <v>70.322580645161295</v>
      </c>
      <c r="R40" s="88">
        <f>(Y40*100)/($C$5*Z40)</f>
        <v>20.940860215053764</v>
      </c>
      <c r="S40" s="3">
        <f>IF((AND(D40=0,F40=0)),0,F40/(D40+F40)*100)</f>
        <v>47.199657973492947</v>
      </c>
      <c r="T40" s="3">
        <f t="shared" ref="T40" si="25">AE44</f>
        <v>0</v>
      </c>
      <c r="U40" s="18">
        <f t="shared" si="21"/>
        <v>0</v>
      </c>
      <c r="V40" s="18">
        <f t="shared" si="21"/>
        <v>0</v>
      </c>
      <c r="W40" s="18">
        <f>F40*100/$C$5</f>
        <v>29.677419354838708</v>
      </c>
      <c r="X40" s="18">
        <f>I40*100/$C$5</f>
        <v>0</v>
      </c>
      <c r="Y40" s="40">
        <f>L40</f>
        <v>7790</v>
      </c>
      <c r="Z40" s="49">
        <v>50</v>
      </c>
      <c r="AA40" s="40">
        <f t="shared" si="22"/>
        <v>37200</v>
      </c>
      <c r="AD40" s="18"/>
      <c r="AE40" s="18"/>
      <c r="AT40" s="24"/>
    </row>
    <row r="41" spans="1:46" ht="13.5" customHeight="1" thickBot="1" x14ac:dyDescent="0.25">
      <c r="A41" s="50"/>
      <c r="B41" s="89" t="s">
        <v>38</v>
      </c>
      <c r="C41" s="90">
        <f t="shared" ref="C41:I41" si="26">SUM(C36:C40)</f>
        <v>1646.2</v>
      </c>
      <c r="D41" s="90">
        <f t="shared" si="26"/>
        <v>798</v>
      </c>
      <c r="E41" s="90">
        <f t="shared" si="26"/>
        <v>848.2</v>
      </c>
      <c r="F41" s="90">
        <f t="shared" si="26"/>
        <v>1329.8</v>
      </c>
      <c r="G41" s="91">
        <f t="shared" si="26"/>
        <v>744</v>
      </c>
      <c r="H41" s="90">
        <f t="shared" si="26"/>
        <v>0</v>
      </c>
      <c r="I41" s="92">
        <f t="shared" si="26"/>
        <v>0</v>
      </c>
      <c r="J41" s="91">
        <f t="shared" ref="J41" si="27">J36+J37+J38+J39+J40</f>
        <v>13</v>
      </c>
      <c r="L41" s="39">
        <f>L36+L37+L38+L39+L40</f>
        <v>26343</v>
      </c>
      <c r="M41" s="14">
        <f>(D41+E41+F41+G41+H41+K41)/5</f>
        <v>744</v>
      </c>
      <c r="N41" s="50"/>
      <c r="O41" s="51" t="s">
        <v>38</v>
      </c>
      <c r="P41" s="53">
        <f>((P36*Z36)+(P37*Z37)+(P38*Z38)+(P39*Z39)+(P40*Z40))/Z41</f>
        <v>37.375581226387681</v>
      </c>
      <c r="Q41" s="53">
        <f>AVERAGE(Q36:Q40)</f>
        <v>44.252688172043008</v>
      </c>
      <c r="R41" s="93">
        <f>(R36*Z36+R37*Z37+R38*Z38+R39*Z39+R40*Z40)/Z41</f>
        <v>11.961911508282475</v>
      </c>
      <c r="S41" s="4">
        <f>(N(S36)*Z36+N(S37)*Z37+N(S38)*Z38+N(S39)*Z39+N(S40)*Z40)/Z41</f>
        <v>51.394634107414582</v>
      </c>
      <c r="T41" s="4">
        <f t="shared" ref="T41:T48" si="28">AE45</f>
        <v>0</v>
      </c>
      <c r="U41" s="94">
        <f>AVERAGE(U36:U40)</f>
        <v>20</v>
      </c>
      <c r="V41" s="94">
        <f>AVERAGE(V36:V40)</f>
        <v>0</v>
      </c>
      <c r="W41" s="94">
        <f>AVERAGE(W36:W40)</f>
        <v>35.747311827956992</v>
      </c>
      <c r="X41" s="94">
        <f>AVERAGE(X36:X40)</f>
        <v>0</v>
      </c>
      <c r="Y41" s="40">
        <f>SUM(Y36:Y40)</f>
        <v>26343</v>
      </c>
      <c r="Z41" s="19">
        <f>SUM(Z36:Z40)</f>
        <v>296</v>
      </c>
      <c r="AD41" s="18"/>
      <c r="AE41" s="18"/>
      <c r="AT41" s="24"/>
    </row>
    <row r="42" spans="1:46" ht="14.25" customHeight="1" x14ac:dyDescent="0.2">
      <c r="B42" s="14" t="s">
        <v>62</v>
      </c>
      <c r="C42" s="18">
        <f>D42+E42</f>
        <v>0</v>
      </c>
      <c r="D42" s="58">
        <f>$C$5-(E42+F42+G42+H42)</f>
        <v>0</v>
      </c>
      <c r="E42" s="58">
        <v>0</v>
      </c>
      <c r="F42" s="58">
        <v>0</v>
      </c>
      <c r="G42" s="58">
        <v>744</v>
      </c>
      <c r="H42" s="58">
        <v>0</v>
      </c>
      <c r="I42" s="58">
        <v>0</v>
      </c>
      <c r="J42" s="59">
        <v>0</v>
      </c>
      <c r="K42" s="59"/>
      <c r="L42" s="44">
        <v>0</v>
      </c>
      <c r="M42" s="14">
        <f>D42+E42+F42+G42+H42+K42</f>
        <v>744</v>
      </c>
      <c r="O42" s="14" t="s">
        <v>62</v>
      </c>
      <c r="P42" s="3">
        <f>C42/$C$5*100</f>
        <v>0</v>
      </c>
      <c r="Q42" s="18">
        <f>(C42-I42)*100/$C$5</f>
        <v>0</v>
      </c>
      <c r="R42" s="87">
        <f>(Y42*100)/($C$5*Z42)</f>
        <v>0</v>
      </c>
      <c r="S42" s="3">
        <f>IF((AND(D42=0,F42=0)),0,F42/(D42+F42)*100)</f>
        <v>0</v>
      </c>
      <c r="T42" s="3">
        <f t="shared" si="28"/>
        <v>0</v>
      </c>
      <c r="U42" s="18">
        <f t="shared" ref="U42:V46" si="29">G42*100/$C$5</f>
        <v>100</v>
      </c>
      <c r="V42" s="18">
        <f t="shared" si="29"/>
        <v>0</v>
      </c>
      <c r="W42" s="18">
        <f>F42*100/$C$5</f>
        <v>0</v>
      </c>
      <c r="X42" s="18">
        <f>I42*100/$C$5</f>
        <v>0</v>
      </c>
      <c r="Y42" s="40">
        <f>L42</f>
        <v>0</v>
      </c>
      <c r="Z42" s="49">
        <v>96</v>
      </c>
      <c r="AA42" s="40">
        <f t="shared" ref="AA42:AA46" si="30">Z42*$C$5</f>
        <v>71424</v>
      </c>
      <c r="AD42" s="18"/>
      <c r="AE42" s="18"/>
      <c r="AT42" s="24"/>
    </row>
    <row r="43" spans="1:46" x14ac:dyDescent="0.2">
      <c r="A43" s="17" t="s">
        <v>55</v>
      </c>
      <c r="B43" s="14" t="s">
        <v>63</v>
      </c>
      <c r="C43" s="18">
        <f>$C$5-(F43+G43+H43)</f>
        <v>0</v>
      </c>
      <c r="D43" s="58">
        <f t="shared" ref="D43:D46" si="31">$C$5-(E43+F43+G43+H43)</f>
        <v>0</v>
      </c>
      <c r="E43" s="58">
        <v>0</v>
      </c>
      <c r="F43" s="58">
        <v>744</v>
      </c>
      <c r="G43" s="58">
        <v>0</v>
      </c>
      <c r="H43" s="58">
        <v>0</v>
      </c>
      <c r="I43" s="58">
        <v>0</v>
      </c>
      <c r="J43" s="59">
        <v>1</v>
      </c>
      <c r="K43" s="59"/>
      <c r="L43" s="44">
        <v>0</v>
      </c>
      <c r="M43" s="14">
        <f>D43+E43+F43+G43+H43+K43</f>
        <v>744</v>
      </c>
      <c r="N43" s="17" t="s">
        <v>55</v>
      </c>
      <c r="O43" s="3" t="s">
        <v>63</v>
      </c>
      <c r="P43" s="3">
        <f>C43/$C$5*100</f>
        <v>0</v>
      </c>
      <c r="Q43" s="18">
        <f>(C43-I43)*100/$C$5</f>
        <v>0</v>
      </c>
      <c r="R43" s="87">
        <f>(Y43*100)/($C$5*Z43)</f>
        <v>0</v>
      </c>
      <c r="S43" s="3">
        <f>IF((AND(D43=0,F43=0)),0,F43/(D43+F43)*100)</f>
        <v>100</v>
      </c>
      <c r="T43" s="3">
        <f t="shared" si="28"/>
        <v>0</v>
      </c>
      <c r="U43" s="18">
        <f t="shared" si="29"/>
        <v>0</v>
      </c>
      <c r="V43" s="18">
        <f t="shared" si="29"/>
        <v>0</v>
      </c>
      <c r="W43" s="18">
        <f>F43*100/$C$5</f>
        <v>100</v>
      </c>
      <c r="X43" s="18">
        <f>I43*100/$C$5</f>
        <v>0</v>
      </c>
      <c r="Y43" s="40">
        <f>L43</f>
        <v>0</v>
      </c>
      <c r="Z43" s="49">
        <v>50</v>
      </c>
      <c r="AA43" s="40">
        <f t="shared" si="30"/>
        <v>37200</v>
      </c>
      <c r="AD43" s="18"/>
      <c r="AE43" s="18"/>
      <c r="AT43" s="24"/>
    </row>
    <row r="44" spans="1:46" x14ac:dyDescent="0.2">
      <c r="A44" s="17" t="s">
        <v>57</v>
      </c>
      <c r="B44" s="14" t="s">
        <v>64</v>
      </c>
      <c r="C44" s="18">
        <f>$C$5-(F44+G44+H44)</f>
        <v>12.200000000000045</v>
      </c>
      <c r="D44" s="58">
        <f t="shared" si="31"/>
        <v>12.200000000000045</v>
      </c>
      <c r="E44" s="58">
        <v>0</v>
      </c>
      <c r="F44" s="58">
        <v>731.8</v>
      </c>
      <c r="G44" s="58">
        <v>0</v>
      </c>
      <c r="H44" s="58">
        <v>0</v>
      </c>
      <c r="I44" s="58">
        <v>0</v>
      </c>
      <c r="J44" s="59">
        <v>1</v>
      </c>
      <c r="K44" s="59"/>
      <c r="L44" s="44">
        <v>679</v>
      </c>
      <c r="M44" s="14">
        <f>D44+E44+F44+G44+H44+K44</f>
        <v>744</v>
      </c>
      <c r="N44" s="17" t="s">
        <v>57</v>
      </c>
      <c r="O44" s="3" t="s">
        <v>64</v>
      </c>
      <c r="P44" s="3">
        <f>C44/$C$5*100</f>
        <v>1.6397849462365652</v>
      </c>
      <c r="Q44" s="18">
        <f>(C44-I44)*100/$C$5</f>
        <v>1.6397849462365652</v>
      </c>
      <c r="R44" s="87">
        <f>(Y44*100)/($C$5*Z44)</f>
        <v>1.825268817204301</v>
      </c>
      <c r="S44" s="3">
        <f>IF((AND(D44=0,F44=0)),0,F44/(D44+F44)*100)</f>
        <v>98.36021505376344</v>
      </c>
      <c r="T44" s="3">
        <f t="shared" si="28"/>
        <v>0</v>
      </c>
      <c r="U44" s="18">
        <f t="shared" si="29"/>
        <v>0</v>
      </c>
      <c r="V44" s="18">
        <f t="shared" si="29"/>
        <v>0</v>
      </c>
      <c r="W44" s="18">
        <f>F44*100/$C$5</f>
        <v>98.36021505376344</v>
      </c>
      <c r="X44" s="18">
        <f>I44*100/$C$5</f>
        <v>0</v>
      </c>
      <c r="Y44" s="40">
        <f>L44</f>
        <v>679</v>
      </c>
      <c r="Z44" s="49">
        <v>50</v>
      </c>
      <c r="AA44" s="40">
        <f t="shared" si="30"/>
        <v>37200</v>
      </c>
      <c r="AD44" s="18"/>
      <c r="AE44" s="18"/>
      <c r="AT44" s="24"/>
    </row>
    <row r="45" spans="1:46" x14ac:dyDescent="0.2">
      <c r="A45" s="95" t="s">
        <v>65</v>
      </c>
      <c r="B45" s="14" t="s">
        <v>66</v>
      </c>
      <c r="C45" s="18">
        <f t="shared" ref="C45:C46" si="32">$C$5-(F45+G45+H45)</f>
        <v>0</v>
      </c>
      <c r="D45" s="58">
        <f t="shared" si="31"/>
        <v>0</v>
      </c>
      <c r="E45" s="58">
        <v>0</v>
      </c>
      <c r="F45" s="58">
        <v>0</v>
      </c>
      <c r="G45" s="58">
        <v>744</v>
      </c>
      <c r="H45" s="58">
        <v>0</v>
      </c>
      <c r="I45" s="58">
        <v>0</v>
      </c>
      <c r="J45" s="59">
        <v>0</v>
      </c>
      <c r="K45" s="59"/>
      <c r="L45" s="44">
        <v>0</v>
      </c>
      <c r="M45" s="14">
        <f>D45+E45+F45+G45+H45+K45</f>
        <v>744</v>
      </c>
      <c r="N45" s="95" t="s">
        <v>65</v>
      </c>
      <c r="O45" s="3" t="s">
        <v>66</v>
      </c>
      <c r="P45" s="3">
        <f>C45/$C$5*100</f>
        <v>0</v>
      </c>
      <c r="Q45" s="18">
        <f>(C45-I45)*100/$C$5</f>
        <v>0</v>
      </c>
      <c r="R45" s="87">
        <f>(Y45*100)/($C$5*Z45)</f>
        <v>0</v>
      </c>
      <c r="S45" s="3">
        <f>IF((AND(D45=0,F45=0)),0,F45/(D45+F45)*100)</f>
        <v>0</v>
      </c>
      <c r="T45" s="3">
        <f t="shared" si="28"/>
        <v>0</v>
      </c>
      <c r="U45" s="18">
        <f t="shared" si="29"/>
        <v>100</v>
      </c>
      <c r="V45" s="18">
        <f t="shared" si="29"/>
        <v>0</v>
      </c>
      <c r="W45" s="18">
        <f>F45*100/$C$5</f>
        <v>0</v>
      </c>
      <c r="X45" s="18">
        <f>I45*100/$C$5</f>
        <v>0</v>
      </c>
      <c r="Y45" s="40">
        <f>L45</f>
        <v>0</v>
      </c>
      <c r="Z45" s="49">
        <v>50</v>
      </c>
      <c r="AA45" s="40">
        <f t="shared" si="30"/>
        <v>37200</v>
      </c>
      <c r="AD45" s="18"/>
      <c r="AE45" s="18"/>
      <c r="AT45" s="24"/>
    </row>
    <row r="46" spans="1:46" ht="12.75" customHeight="1" x14ac:dyDescent="0.2">
      <c r="B46" s="14" t="s">
        <v>67</v>
      </c>
      <c r="C46" s="18">
        <f t="shared" si="32"/>
        <v>12.200000000000045</v>
      </c>
      <c r="D46" s="96">
        <f t="shared" si="31"/>
        <v>12.200000000000045</v>
      </c>
      <c r="E46" s="96">
        <v>0</v>
      </c>
      <c r="F46" s="96">
        <v>731.8</v>
      </c>
      <c r="G46" s="96">
        <v>0</v>
      </c>
      <c r="H46" s="96">
        <v>0</v>
      </c>
      <c r="I46" s="58">
        <v>0</v>
      </c>
      <c r="J46" s="97">
        <v>1</v>
      </c>
      <c r="K46" s="59"/>
      <c r="L46" s="44">
        <v>674</v>
      </c>
      <c r="M46" s="14">
        <f>D46+E46+F46+G46+H46+K46</f>
        <v>744</v>
      </c>
      <c r="O46" s="3" t="s">
        <v>67</v>
      </c>
      <c r="P46" s="3">
        <f>C46/$C$5*100</f>
        <v>1.6397849462365652</v>
      </c>
      <c r="Q46" s="18">
        <f>(C46-I46)*100/$C$5</f>
        <v>1.6397849462365652</v>
      </c>
      <c r="R46" s="88">
        <f>(Y46*100)/($C$5*Z46)</f>
        <v>1.8118279569892473</v>
      </c>
      <c r="S46" s="3">
        <f>IF((AND(D46=0,F46=0)),0,F46/(D46+F46)*100)</f>
        <v>98.36021505376344</v>
      </c>
      <c r="T46" s="3">
        <f t="shared" si="28"/>
        <v>0</v>
      </c>
      <c r="U46" s="18">
        <f t="shared" si="29"/>
        <v>0</v>
      </c>
      <c r="V46" s="18">
        <f t="shared" si="29"/>
        <v>0</v>
      </c>
      <c r="W46" s="18">
        <f>F46*100/$C$5</f>
        <v>98.36021505376344</v>
      </c>
      <c r="X46" s="18">
        <f>I46*100/$C$5</f>
        <v>0</v>
      </c>
      <c r="Y46" s="40">
        <f>L46</f>
        <v>674</v>
      </c>
      <c r="Z46" s="49">
        <v>50</v>
      </c>
      <c r="AA46" s="40">
        <f t="shared" si="30"/>
        <v>37200</v>
      </c>
      <c r="AD46" s="18"/>
      <c r="AE46" s="18"/>
      <c r="AT46" s="24"/>
    </row>
    <row r="47" spans="1:46" ht="14.25" thickBot="1" x14ac:dyDescent="0.25">
      <c r="B47" s="51" t="s">
        <v>38</v>
      </c>
      <c r="C47" s="53">
        <f>SUM(C42:C46)</f>
        <v>24.400000000000091</v>
      </c>
      <c r="D47" s="53">
        <f t="shared" ref="D47:J47" si="33">SUM(D42:D46)</f>
        <v>24.400000000000091</v>
      </c>
      <c r="E47" s="53">
        <f t="shared" si="33"/>
        <v>0</v>
      </c>
      <c r="F47" s="53">
        <f t="shared" si="33"/>
        <v>2207.6</v>
      </c>
      <c r="G47" s="53">
        <f t="shared" si="33"/>
        <v>1488</v>
      </c>
      <c r="H47" s="53">
        <f t="shared" si="33"/>
        <v>0</v>
      </c>
      <c r="I47" s="53">
        <f t="shared" si="33"/>
        <v>0</v>
      </c>
      <c r="J47" s="4">
        <f t="shared" si="33"/>
        <v>3</v>
      </c>
      <c r="L47" s="52">
        <f>L42+L43+L44+L45+L46</f>
        <v>1353</v>
      </c>
      <c r="M47" s="14">
        <f>(D47+E47+F47+G47+H47+K47)/5</f>
        <v>744</v>
      </c>
      <c r="O47" s="51" t="s">
        <v>38</v>
      </c>
      <c r="P47" s="4">
        <f>((P42*Z42)+(P43*Z43)+(P44*Z44)+(P45*Z45)+(P46*Z46))/Z47</f>
        <v>0.55398140075559643</v>
      </c>
      <c r="Q47" s="53">
        <f>AVERAGE(Q42:Q46)</f>
        <v>0.65591397849462607</v>
      </c>
      <c r="R47" s="93">
        <f>(R42*Z42+R43*Z43+R44*Z44+R45*Z45+R46*Z46)/Z47</f>
        <v>0.61437445510026156</v>
      </c>
      <c r="S47" s="4">
        <f>(N(S42)*Z42+N(S43)*Z43+N(S44)*Z44+N(S45)*Z45+N(S46)*Z46)/Z47</f>
        <v>50.121694274920088</v>
      </c>
      <c r="T47" s="4">
        <f t="shared" si="28"/>
        <v>0</v>
      </c>
      <c r="U47" s="53">
        <f>AVERAGE(U42:U46)</f>
        <v>40</v>
      </c>
      <c r="V47" s="53">
        <f>AVERAGE(V42:V46)</f>
        <v>0</v>
      </c>
      <c r="W47" s="53">
        <f>AVERAGE(W42:W46)</f>
        <v>59.344086021505383</v>
      </c>
      <c r="X47" s="53">
        <f>AVERAGE(X42:X46)</f>
        <v>0</v>
      </c>
      <c r="Y47" s="40">
        <f>SUM(Y42:Y46)</f>
        <v>1353</v>
      </c>
      <c r="Z47" s="19">
        <f>SUM(Z42:Z46)</f>
        <v>296</v>
      </c>
      <c r="AD47" s="18"/>
      <c r="AE47" s="18"/>
      <c r="AT47" s="24"/>
    </row>
    <row r="48" spans="1:46" ht="15" thickTop="1" thickBot="1" x14ac:dyDescent="0.25">
      <c r="A48" s="98" t="s">
        <v>68</v>
      </c>
      <c r="B48" s="99"/>
      <c r="C48" s="100">
        <f t="shared" ref="C48:J48" si="34">C41+C47</f>
        <v>1670.6000000000001</v>
      </c>
      <c r="D48" s="100">
        <f t="shared" si="34"/>
        <v>822.40000000000009</v>
      </c>
      <c r="E48" s="100">
        <f t="shared" si="34"/>
        <v>848.2</v>
      </c>
      <c r="F48" s="100">
        <f t="shared" si="34"/>
        <v>3537.3999999999996</v>
      </c>
      <c r="G48" s="100">
        <f t="shared" si="34"/>
        <v>2232</v>
      </c>
      <c r="H48" s="100">
        <f t="shared" si="34"/>
        <v>0</v>
      </c>
      <c r="I48" s="100">
        <f t="shared" si="34"/>
        <v>0</v>
      </c>
      <c r="J48" s="73">
        <f t="shared" si="34"/>
        <v>16</v>
      </c>
      <c r="K48" s="38"/>
      <c r="L48" s="52">
        <f>L41+L47</f>
        <v>27696</v>
      </c>
      <c r="M48" s="14">
        <f>(D48+E48+F48+G48+H48+K48)/10</f>
        <v>744</v>
      </c>
      <c r="N48" s="72" t="s">
        <v>68</v>
      </c>
      <c r="O48" s="98"/>
      <c r="P48" s="74">
        <f>(P41*Z41+P47*Z47)/Z48</f>
        <v>18.964781313571635</v>
      </c>
      <c r="Q48" s="75">
        <f>AVERAGE(Q41,Q47)</f>
        <v>22.454301075268816</v>
      </c>
      <c r="R48" s="101">
        <f>(R41*Z41+R47*Z47)/Z48</f>
        <v>6.2881429816913679</v>
      </c>
      <c r="S48" s="74">
        <f>(S41*Z41+S47*Z47)/Z48</f>
        <v>50.758164191167339</v>
      </c>
      <c r="T48" s="74">
        <f t="shared" si="28"/>
        <v>0</v>
      </c>
      <c r="U48" s="74">
        <f>AVERAGE(U41,U47)</f>
        <v>30</v>
      </c>
      <c r="V48" s="74">
        <f>AVERAGE(V41,V47)</f>
        <v>0</v>
      </c>
      <c r="W48" s="102">
        <f>AVERAGE(W41,W47)</f>
        <v>47.545698924731184</v>
      </c>
      <c r="X48" s="74">
        <f>AVERAGE(X41,X47)</f>
        <v>0</v>
      </c>
      <c r="Y48" s="40">
        <f>Y41+Y47</f>
        <v>27696</v>
      </c>
      <c r="Z48" s="19">
        <f>Z47+Z41</f>
        <v>592</v>
      </c>
      <c r="AD48" s="18"/>
      <c r="AE48" s="18"/>
      <c r="AT48" s="24"/>
    </row>
    <row r="49" spans="1:46" ht="15" thickTop="1" thickBot="1" x14ac:dyDescent="0.25">
      <c r="L49" s="52"/>
      <c r="Y49" s="40"/>
      <c r="AD49" s="18"/>
      <c r="AE49" s="18"/>
      <c r="AT49" s="24"/>
    </row>
    <row r="50" spans="1:46" ht="15" thickTop="1" thickBot="1" x14ac:dyDescent="0.25">
      <c r="A50" s="98" t="s">
        <v>69</v>
      </c>
      <c r="B50" s="99"/>
      <c r="C50" s="100">
        <f t="shared" ref="C50:J50" si="35">C27+C48</f>
        <v>5596.62</v>
      </c>
      <c r="D50" s="100">
        <f t="shared" si="35"/>
        <v>4736.42</v>
      </c>
      <c r="E50" s="100">
        <f t="shared" si="35"/>
        <v>860.2</v>
      </c>
      <c r="F50" s="100">
        <f t="shared" si="35"/>
        <v>4912.8099999999995</v>
      </c>
      <c r="G50" s="100">
        <f t="shared" si="35"/>
        <v>5297.97</v>
      </c>
      <c r="H50" s="100">
        <f t="shared" si="35"/>
        <v>560.6</v>
      </c>
      <c r="I50" s="100">
        <f t="shared" si="35"/>
        <v>1349.76</v>
      </c>
      <c r="J50" s="73">
        <f t="shared" si="35"/>
        <v>33</v>
      </c>
      <c r="K50" s="38"/>
      <c r="L50" s="52">
        <f>L27+L48</f>
        <v>665228</v>
      </c>
      <c r="Y50" s="40"/>
      <c r="AD50" s="18"/>
      <c r="AE50" s="18"/>
      <c r="AT50" s="24"/>
    </row>
    <row r="51" spans="1:46" ht="14.25" thickTop="1" x14ac:dyDescent="0.2">
      <c r="L51" s="63"/>
      <c r="Y51" s="40"/>
      <c r="AD51" s="18"/>
      <c r="AE51" s="18"/>
      <c r="AT51" s="24"/>
    </row>
    <row r="52" spans="1:46" x14ac:dyDescent="0.2">
      <c r="L52" s="103"/>
      <c r="Y52" s="40"/>
      <c r="AD52" s="18"/>
      <c r="AE52" s="18"/>
      <c r="AT52" s="24"/>
    </row>
    <row r="53" spans="1:46" x14ac:dyDescent="0.2">
      <c r="B53" s="27"/>
      <c r="C53" s="27"/>
      <c r="D53" s="28"/>
      <c r="E53" s="27"/>
      <c r="F53" s="27"/>
      <c r="G53" s="27"/>
      <c r="H53" s="27"/>
      <c r="I53" s="27"/>
      <c r="J53" s="27"/>
      <c r="K53" s="27"/>
      <c r="R53" s="28"/>
      <c r="S53" s="27"/>
      <c r="T53" s="27"/>
      <c r="U53" s="27"/>
      <c r="V53" s="27"/>
      <c r="Y53" s="40"/>
      <c r="AT53" s="24"/>
    </row>
    <row r="54" spans="1:46" x14ac:dyDescent="0.2">
      <c r="A54" s="28" t="s">
        <v>70</v>
      </c>
      <c r="B54" s="27"/>
      <c r="C54" s="27"/>
      <c r="D54" s="28"/>
      <c r="E54" s="27"/>
      <c r="F54" s="27"/>
      <c r="G54" s="27"/>
      <c r="H54" s="27"/>
      <c r="I54" s="27"/>
      <c r="J54" s="27"/>
      <c r="K54" s="27"/>
      <c r="N54" s="28" t="s">
        <v>70</v>
      </c>
      <c r="O54" s="27"/>
      <c r="P54" s="27"/>
      <c r="Q54" s="82"/>
      <c r="R54" s="28"/>
      <c r="S54" s="27"/>
      <c r="T54" s="27"/>
      <c r="U54" s="27"/>
      <c r="V54" s="27"/>
      <c r="W54" s="77"/>
      <c r="X54" s="27"/>
      <c r="Y54" s="40"/>
      <c r="AT54" s="24"/>
    </row>
    <row r="55" spans="1:46" x14ac:dyDescent="0.2">
      <c r="A55" s="28" t="s">
        <v>71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N55" s="28" t="s">
        <v>71</v>
      </c>
      <c r="O55" s="27"/>
      <c r="P55" s="27"/>
      <c r="Q55" s="82"/>
      <c r="R55" s="28"/>
      <c r="S55" s="27"/>
      <c r="T55" s="27"/>
      <c r="U55" s="27"/>
      <c r="V55" s="27"/>
      <c r="W55" s="77"/>
      <c r="X55" s="27"/>
      <c r="Y55" s="40"/>
      <c r="AD55" s="189"/>
      <c r="AE55" s="189"/>
      <c r="AT55" s="24"/>
    </row>
    <row r="56" spans="1:46" x14ac:dyDescent="0.2">
      <c r="A56" s="28" t="s">
        <v>1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N56" s="28" t="s">
        <v>2</v>
      </c>
      <c r="O56" s="27"/>
      <c r="P56" s="27"/>
      <c r="Q56" s="82"/>
      <c r="R56" s="27"/>
      <c r="S56" s="27"/>
      <c r="T56" s="27"/>
      <c r="U56" s="27"/>
      <c r="V56" s="27"/>
      <c r="W56" s="77"/>
      <c r="X56" s="27"/>
      <c r="Y56" s="40"/>
      <c r="AD56" s="189"/>
      <c r="AE56" s="189"/>
      <c r="AT56" s="24"/>
    </row>
    <row r="57" spans="1:46" x14ac:dyDescent="0.2">
      <c r="A57" s="28" t="s">
        <v>3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Y57" s="40"/>
      <c r="AD57" s="189"/>
      <c r="AE57" s="189"/>
      <c r="AT57" s="24"/>
    </row>
    <row r="58" spans="1:46" ht="14.25" thickBot="1" x14ac:dyDescent="0.25">
      <c r="A58" s="30" t="str">
        <f>A5</f>
        <v>HORAS EN EL MES:</v>
      </c>
      <c r="C58" s="17"/>
      <c r="J58" s="14"/>
      <c r="K58" s="37"/>
      <c r="L58" s="13" t="s">
        <v>25</v>
      </c>
      <c r="N58" s="26" t="str">
        <f>A58</f>
        <v>HORAS EN EL MES:</v>
      </c>
      <c r="O58" s="104"/>
      <c r="P58" s="105">
        <f>$C$5</f>
        <v>744</v>
      </c>
      <c r="Q58" s="106"/>
      <c r="R58" s="107"/>
      <c r="S58" s="107"/>
      <c r="T58" s="107"/>
      <c r="U58" s="107"/>
      <c r="V58" s="107"/>
      <c r="W58" s="108"/>
      <c r="X58" s="107"/>
      <c r="Y58" s="181" t="s">
        <v>25</v>
      </c>
      <c r="AT58" s="24"/>
    </row>
    <row r="59" spans="1:46" ht="15" thickTop="1" thickBot="1" x14ac:dyDescent="0.25">
      <c r="A59" s="33" t="s">
        <v>72</v>
      </c>
      <c r="B59" s="109" t="s">
        <v>7</v>
      </c>
      <c r="C59" s="109"/>
      <c r="D59" s="34" t="s">
        <v>8</v>
      </c>
      <c r="E59" s="34" t="s">
        <v>9</v>
      </c>
      <c r="F59" s="34" t="s">
        <v>10</v>
      </c>
      <c r="G59" s="34" t="s">
        <v>11</v>
      </c>
      <c r="H59" s="34" t="s">
        <v>12</v>
      </c>
      <c r="I59" s="34" t="s">
        <v>13</v>
      </c>
      <c r="J59" s="33" t="s">
        <v>14</v>
      </c>
      <c r="K59" s="33" t="s">
        <v>15</v>
      </c>
      <c r="L59" s="13" t="s">
        <v>120</v>
      </c>
      <c r="N59" s="110" t="s">
        <v>6</v>
      </c>
      <c r="O59" s="110" t="s">
        <v>7</v>
      </c>
      <c r="P59" s="111" t="s">
        <v>16</v>
      </c>
      <c r="Q59" s="112" t="s">
        <v>17</v>
      </c>
      <c r="R59" s="111" t="s">
        <v>18</v>
      </c>
      <c r="S59" s="111" t="s">
        <v>19</v>
      </c>
      <c r="T59" s="111" t="s">
        <v>20</v>
      </c>
      <c r="U59" s="111" t="s">
        <v>21</v>
      </c>
      <c r="V59" s="111" t="s">
        <v>22</v>
      </c>
      <c r="W59" s="113" t="s">
        <v>23</v>
      </c>
      <c r="X59" s="111" t="s">
        <v>24</v>
      </c>
      <c r="Y59" s="181" t="s">
        <v>120</v>
      </c>
      <c r="Z59" s="19" t="s">
        <v>26</v>
      </c>
      <c r="AA59" s="3" t="s">
        <v>27</v>
      </c>
      <c r="AD59" s="17"/>
      <c r="AE59" s="17"/>
      <c r="AT59" s="24"/>
    </row>
    <row r="60" spans="1:46" x14ac:dyDescent="0.2">
      <c r="B60" s="27" t="s">
        <v>56</v>
      </c>
      <c r="C60" s="27"/>
      <c r="D60" s="38">
        <f>$C$5-(G60+H60+I60)</f>
        <v>744</v>
      </c>
      <c r="E60" s="114">
        <f>$C$5-(F60+G60+H60+I60)</f>
        <v>150.20000000000005</v>
      </c>
      <c r="F60" s="114">
        <v>593.79999999999995</v>
      </c>
      <c r="G60" s="114">
        <v>0</v>
      </c>
      <c r="H60" s="114">
        <v>0</v>
      </c>
      <c r="I60" s="114">
        <v>0</v>
      </c>
      <c r="J60" s="114">
        <f>IF(E60=0,0,IF((L60/E60)&gt;Z60,0,((Z60-(L60/E60))*E60/Z60)))</f>
        <v>28.390476190476246</v>
      </c>
      <c r="K60" s="9">
        <v>0</v>
      </c>
      <c r="L60" s="44">
        <v>2558</v>
      </c>
      <c r="M60" s="14">
        <f>E60+F60+G60+H60+I60</f>
        <v>744</v>
      </c>
      <c r="O60" s="3" t="s">
        <v>56</v>
      </c>
      <c r="P60" s="3">
        <f>D60/$C$5*100</f>
        <v>100</v>
      </c>
      <c r="Q60" s="18">
        <f>(D60-J60)*100/$C$5</f>
        <v>96.18407578084998</v>
      </c>
      <c r="R60" s="18">
        <f>17.19</f>
        <v>17.190000000000001</v>
      </c>
      <c r="S60" s="18">
        <f>IF((AND(E60=0,G60=0)),0,G60/(E60+G60)*100)</f>
        <v>0</v>
      </c>
      <c r="T60" s="18">
        <f t="shared" ref="T60:T69" si="36">AE60</f>
        <v>0</v>
      </c>
      <c r="U60" s="18">
        <f>H60*100/$C$5</f>
        <v>0</v>
      </c>
      <c r="V60" s="18">
        <f>I60/$C$5*100</f>
        <v>0</v>
      </c>
      <c r="W60" s="18">
        <f>G60*100/$C$5</f>
        <v>0</v>
      </c>
      <c r="X60" s="18">
        <f>J60*100/$C$5</f>
        <v>3.8159242191500331</v>
      </c>
      <c r="Y60" s="40">
        <f>L60</f>
        <v>2558</v>
      </c>
      <c r="Z60" s="49">
        <v>21</v>
      </c>
      <c r="AA60" s="40">
        <f>Z60*$C$5</f>
        <v>15624</v>
      </c>
      <c r="AD60" s="18"/>
      <c r="AE60" s="18"/>
      <c r="AT60" s="24"/>
    </row>
    <row r="61" spans="1:46" x14ac:dyDescent="0.2">
      <c r="A61" s="115" t="s">
        <v>73</v>
      </c>
      <c r="B61" s="27" t="s">
        <v>58</v>
      </c>
      <c r="C61" s="27"/>
      <c r="D61" s="38">
        <f>$C$5-(G61+H61+I61)</f>
        <v>732</v>
      </c>
      <c r="E61" s="114">
        <f t="shared" ref="E61" si="37">$C$5-(F61+G61+H61+I61)</f>
        <v>137</v>
      </c>
      <c r="F61" s="114">
        <v>595</v>
      </c>
      <c r="G61" s="114">
        <v>12</v>
      </c>
      <c r="H61" s="114">
        <v>0</v>
      </c>
      <c r="I61" s="114">
        <v>0</v>
      </c>
      <c r="J61" s="114">
        <f>IF(E61=0,0,IF((L61/E61)&gt;Z61,0,((Z61-(L61/E61))*E61/Z61)))</f>
        <v>16.476190476190464</v>
      </c>
      <c r="K61" s="9">
        <v>0</v>
      </c>
      <c r="L61" s="44">
        <v>2531</v>
      </c>
      <c r="M61" s="14">
        <f>E61+F61+G61+H61+I61</f>
        <v>744</v>
      </c>
      <c r="O61" s="3" t="s">
        <v>58</v>
      </c>
      <c r="P61" s="3">
        <f>D61/$C$5*100</f>
        <v>98.387096774193552</v>
      </c>
      <c r="Q61" s="18">
        <f>(D61-J61)*100/$C$5</f>
        <v>96.172555043522777</v>
      </c>
      <c r="R61" s="18">
        <f>17.01</f>
        <v>17.010000000000002</v>
      </c>
      <c r="S61" s="18">
        <f>IF((AND(E61=0,G61=0)),0,G61/(E61+G61)*100)</f>
        <v>8.0536912751677843</v>
      </c>
      <c r="T61" s="18">
        <f t="shared" si="36"/>
        <v>0</v>
      </c>
      <c r="U61" s="18">
        <f>H61*100/$C$5</f>
        <v>0</v>
      </c>
      <c r="V61" s="18">
        <f>I61/$C$5*100</f>
        <v>0</v>
      </c>
      <c r="W61" s="18">
        <f>G61*100/$C$5</f>
        <v>1.6129032258064515</v>
      </c>
      <c r="X61" s="18">
        <f>J61*100/$C$5</f>
        <v>2.2145417306707613</v>
      </c>
      <c r="Y61" s="40">
        <f>L61</f>
        <v>2531</v>
      </c>
      <c r="Z61" s="49">
        <v>21</v>
      </c>
      <c r="AA61" s="40">
        <f t="shared" ref="AA61:AA62" si="38">Z61*$C$5</f>
        <v>15624</v>
      </c>
      <c r="AD61" s="18"/>
      <c r="AE61" s="18"/>
      <c r="AT61" s="24"/>
    </row>
    <row r="62" spans="1:46" x14ac:dyDescent="0.2">
      <c r="B62" s="27" t="s">
        <v>63</v>
      </c>
      <c r="C62" s="27"/>
      <c r="D62" s="38">
        <f>$C$5-(G62+H62+I62)</f>
        <v>504</v>
      </c>
      <c r="E62" s="114">
        <f>$C$5-(F62+G62+H62+I62)</f>
        <v>97.399999999999977</v>
      </c>
      <c r="F62" s="114">
        <v>406.6</v>
      </c>
      <c r="G62" s="114">
        <v>240</v>
      </c>
      <c r="H62" s="114">
        <v>0</v>
      </c>
      <c r="I62" s="114">
        <v>0</v>
      </c>
      <c r="J62" s="114">
        <f>IF(E62=0,0,IF((L62/E62)&gt;Z62,0,((Z62-(L62/E62))*E62/Z62)))</f>
        <v>12.304761904761879</v>
      </c>
      <c r="K62" s="9">
        <v>0</v>
      </c>
      <c r="L62" s="44">
        <v>1787</v>
      </c>
      <c r="M62" s="14">
        <f>E62+F62+G62+H62+I62</f>
        <v>744</v>
      </c>
      <c r="N62" s="30" t="s">
        <v>73</v>
      </c>
      <c r="O62" s="3" t="s">
        <v>63</v>
      </c>
      <c r="P62" s="3">
        <f>D62/$C$5*100</f>
        <v>67.741935483870961</v>
      </c>
      <c r="Q62" s="18">
        <f>(D62-J62)*100/$C$5</f>
        <v>66.088069636456737</v>
      </c>
      <c r="R62" s="18">
        <f>12.01</f>
        <v>12.01</v>
      </c>
      <c r="S62" s="18">
        <f>IF((AND(E62=0,G62=0)),0,G62/(E62+G62)*100)</f>
        <v>71.132187314759932</v>
      </c>
      <c r="T62" s="18">
        <f t="shared" si="36"/>
        <v>0</v>
      </c>
      <c r="U62" s="18">
        <f>H62*100/$C$5</f>
        <v>0</v>
      </c>
      <c r="V62" s="18">
        <f>I62/$C$5*100</f>
        <v>0</v>
      </c>
      <c r="W62" s="18">
        <f>G62*100/$C$5</f>
        <v>32.258064516129032</v>
      </c>
      <c r="X62" s="18">
        <f>J62*100/$C$5</f>
        <v>1.6538658474142309</v>
      </c>
      <c r="Y62" s="40">
        <f>L62</f>
        <v>1787</v>
      </c>
      <c r="Z62" s="49">
        <v>21</v>
      </c>
      <c r="AA62" s="40">
        <f t="shared" si="38"/>
        <v>15624</v>
      </c>
      <c r="AD62" s="18"/>
      <c r="AE62" s="18"/>
      <c r="AT62" s="24"/>
    </row>
    <row r="63" spans="1:46" ht="14.25" thickBot="1" x14ac:dyDescent="0.25">
      <c r="A63" s="50"/>
      <c r="B63" s="51" t="s">
        <v>74</v>
      </c>
      <c r="C63" s="4"/>
      <c r="D63" s="116">
        <f t="shared" ref="D63:I63" si="39">SUM(D60:D62)</f>
        <v>1980</v>
      </c>
      <c r="E63" s="116">
        <f t="shared" si="39"/>
        <v>384.6</v>
      </c>
      <c r="F63" s="116">
        <f t="shared" si="39"/>
        <v>1595.4</v>
      </c>
      <c r="G63" s="116">
        <f t="shared" si="39"/>
        <v>252</v>
      </c>
      <c r="H63" s="116">
        <f t="shared" si="39"/>
        <v>0</v>
      </c>
      <c r="I63" s="116">
        <f t="shared" si="39"/>
        <v>0</v>
      </c>
      <c r="J63" s="117">
        <f>J60+J61+J62</f>
        <v>57.171428571428592</v>
      </c>
      <c r="K63" s="116">
        <f>SUM(K60:K62)</f>
        <v>0</v>
      </c>
      <c r="L63" s="39">
        <f>SUM(L60:L62)</f>
        <v>6876</v>
      </c>
      <c r="M63" s="14">
        <f>(E63+F63+G63+H63+I63)/3</f>
        <v>744</v>
      </c>
      <c r="N63" s="50"/>
      <c r="O63" s="51" t="s">
        <v>38</v>
      </c>
      <c r="P63" s="4">
        <f>(P60*$Z$60+P61*$Z$61+P62*$Z$62)/$Z$63</f>
        <v>88.709677419354833</v>
      </c>
      <c r="Q63" s="62">
        <f>(Q60*$Z$60+Q61*$Z$61+Q62*$Z$62)/$Z$63</f>
        <v>86.14823348694317</v>
      </c>
      <c r="R63" s="62">
        <f>(R60*$Z$60+R61*$Z$61+R62*$Z$62)/$Z$63</f>
        <v>15.403333333333334</v>
      </c>
      <c r="S63" s="4">
        <f>(S60*$Z$60+S61*$Z$61+S62*$Z$62)/$Z$63</f>
        <v>26.395292863309241</v>
      </c>
      <c r="T63" s="62">
        <f t="shared" si="36"/>
        <v>0</v>
      </c>
      <c r="U63" s="4">
        <f>(U60*$Z$60+U61*$Z$61+U62*$Z$62)/$Z$63</f>
        <v>0</v>
      </c>
      <c r="V63" s="4">
        <f>(V60*$Z$60+V61*$Z$61+V62*$Z$62)/$Z$63</f>
        <v>0</v>
      </c>
      <c r="W63" s="53">
        <f>(W60*$Z$60+W61*$Z$61+W62*$Z$62)/$Z$63</f>
        <v>11.29032258064516</v>
      </c>
      <c r="X63" s="53">
        <f>(X60*$Z$60+X61*$Z$61+X62*$Z$62)/$Z$63</f>
        <v>2.5614439324116751</v>
      </c>
      <c r="Y63" s="40">
        <f>SUM(Y60:Y62)</f>
        <v>6876</v>
      </c>
      <c r="Z63" s="19">
        <f>SUM(Z60:Z62)</f>
        <v>63</v>
      </c>
      <c r="AD63" s="118"/>
      <c r="AE63" s="118"/>
      <c r="AT63" s="24"/>
    </row>
    <row r="64" spans="1:46" x14ac:dyDescent="0.2">
      <c r="B64" s="27" t="s">
        <v>56</v>
      </c>
      <c r="C64" s="27"/>
      <c r="D64" s="7">
        <f>E64+F64</f>
        <v>0</v>
      </c>
      <c r="E64" s="114">
        <f>$C$5-(F64+G64+H64+I64)</f>
        <v>0</v>
      </c>
      <c r="F64" s="114">
        <v>0</v>
      </c>
      <c r="G64" s="114">
        <v>744</v>
      </c>
      <c r="H64" s="114">
        <v>0</v>
      </c>
      <c r="I64" s="114">
        <v>0</v>
      </c>
      <c r="J64" s="119">
        <f>IF(E64=0,0,IF((L64/E64)&gt;Z64,0,((Z64-(L64/E64))*E64/Z64)))</f>
        <v>0</v>
      </c>
      <c r="K64" s="9">
        <v>0</v>
      </c>
      <c r="L64" s="44">
        <v>0</v>
      </c>
      <c r="M64" s="14">
        <f>E64+F64+G64+H64+I64</f>
        <v>744</v>
      </c>
      <c r="O64" s="3" t="s">
        <v>56</v>
      </c>
      <c r="P64" s="3">
        <f>D64/$C$5*100</f>
        <v>0</v>
      </c>
      <c r="Q64" s="18">
        <f>(D64-J64)*100/$C$5</f>
        <v>0</v>
      </c>
      <c r="R64" s="18">
        <f>0</f>
        <v>0</v>
      </c>
      <c r="S64" s="3">
        <f>IF((AND(E64=0,G64=0)),0,G64/(E64+G64)*100)</f>
        <v>100</v>
      </c>
      <c r="T64" s="3">
        <f t="shared" si="36"/>
        <v>0</v>
      </c>
      <c r="U64" s="3">
        <f>H64*100/$C$5</f>
        <v>0</v>
      </c>
      <c r="V64" s="3">
        <f>I64/$C$5*100</f>
        <v>0</v>
      </c>
      <c r="W64" s="18">
        <f>G64*100/$C$5</f>
        <v>100</v>
      </c>
      <c r="X64" s="18">
        <f>J64*100/$C$5</f>
        <v>0</v>
      </c>
      <c r="Y64" s="40">
        <f>L64</f>
        <v>0</v>
      </c>
      <c r="Z64" s="49">
        <v>21</v>
      </c>
      <c r="AA64" s="40">
        <f>Z64*$C$5</f>
        <v>15624</v>
      </c>
      <c r="AD64" s="18"/>
      <c r="AE64" s="18"/>
      <c r="AT64" s="24"/>
    </row>
    <row r="65" spans="1:46" x14ac:dyDescent="0.2">
      <c r="A65" s="30" t="s">
        <v>75</v>
      </c>
      <c r="B65" s="27" t="s">
        <v>58</v>
      </c>
      <c r="C65" s="27"/>
      <c r="D65" s="7">
        <f>E65+F65</f>
        <v>21.600000000000023</v>
      </c>
      <c r="E65" s="114">
        <f>$C$5-(F65+G65+H65+I65)</f>
        <v>21.600000000000023</v>
      </c>
      <c r="F65" s="114">
        <v>0</v>
      </c>
      <c r="G65" s="114">
        <v>722.4</v>
      </c>
      <c r="H65" s="114">
        <v>0</v>
      </c>
      <c r="I65" s="114">
        <v>0</v>
      </c>
      <c r="J65" s="114">
        <f>IF(E65=0,0,IF((L65/E65)&gt;Z65,0,((Z65-(L65/E65))*E65/Z65)))</f>
        <v>2.8857142857143088</v>
      </c>
      <c r="K65" s="9">
        <v>0</v>
      </c>
      <c r="L65" s="44">
        <v>393</v>
      </c>
      <c r="M65" s="14">
        <f>E65+F65+G65+H65+I65</f>
        <v>744</v>
      </c>
      <c r="N65" s="30" t="s">
        <v>75</v>
      </c>
      <c r="O65" s="3" t="s">
        <v>58</v>
      </c>
      <c r="P65" s="3">
        <f>D65/$C$5*100</f>
        <v>2.9032258064516157</v>
      </c>
      <c r="Q65" s="18">
        <f>(D65-J65)*100/$C$5</f>
        <v>2.5153609831029189</v>
      </c>
      <c r="R65" s="18">
        <f>2.64</f>
        <v>2.64</v>
      </c>
      <c r="S65" s="3">
        <f>IF((AND(E65=0,G65=0)),0,G65/(E65+G65)*100)</f>
        <v>97.096774193548384</v>
      </c>
      <c r="T65" s="3">
        <f t="shared" si="36"/>
        <v>0</v>
      </c>
      <c r="U65" s="3">
        <f>H65*100/$C$5</f>
        <v>0</v>
      </c>
      <c r="V65" s="3">
        <f>I65/$C$5*100</f>
        <v>0</v>
      </c>
      <c r="W65" s="18">
        <f>G65*100/$C$5</f>
        <v>97.096774193548384</v>
      </c>
      <c r="X65" s="18">
        <f>J65*100/$C$5</f>
        <v>0.38786482334869743</v>
      </c>
      <c r="Y65" s="40">
        <f>L65</f>
        <v>393</v>
      </c>
      <c r="Z65" s="49">
        <v>21</v>
      </c>
      <c r="AA65" s="40">
        <f>Z65*$C$5</f>
        <v>15624</v>
      </c>
      <c r="AD65" s="18"/>
      <c r="AE65" s="18"/>
      <c r="AT65" s="24"/>
    </row>
    <row r="66" spans="1:46" ht="14.25" thickBot="1" x14ac:dyDescent="0.25">
      <c r="A66" s="50"/>
      <c r="B66" s="51" t="s">
        <v>38</v>
      </c>
      <c r="C66" s="4"/>
      <c r="D66" s="120">
        <f t="shared" ref="D66:L66" si="40">D64+D65</f>
        <v>21.600000000000023</v>
      </c>
      <c r="E66" s="120">
        <f t="shared" si="40"/>
        <v>21.600000000000023</v>
      </c>
      <c r="F66" s="120">
        <f t="shared" si="40"/>
        <v>0</v>
      </c>
      <c r="G66" s="120">
        <f t="shared" si="40"/>
        <v>1466.4</v>
      </c>
      <c r="H66" s="120">
        <f t="shared" si="40"/>
        <v>0</v>
      </c>
      <c r="I66" s="120">
        <f t="shared" si="40"/>
        <v>0</v>
      </c>
      <c r="J66" s="121">
        <f t="shared" si="40"/>
        <v>2.8857142857143088</v>
      </c>
      <c r="K66" s="116">
        <f t="shared" si="40"/>
        <v>0</v>
      </c>
      <c r="L66" s="39">
        <f t="shared" si="40"/>
        <v>393</v>
      </c>
      <c r="M66" s="14">
        <f>(E66+F66+G66+H66+I66)/2</f>
        <v>744</v>
      </c>
      <c r="N66" s="50"/>
      <c r="O66" s="51" t="s">
        <v>38</v>
      </c>
      <c r="P66" s="4">
        <f>((P64*$Z$64)+(P65*$Z$65))/$Z$66</f>
        <v>1.4516129032258078</v>
      </c>
      <c r="Q66" s="53">
        <f>((Q64*$Z$64)+(Q65*$Z$65))/$Z$66</f>
        <v>1.2576804915514594</v>
      </c>
      <c r="R66" s="4">
        <f>((R64*$Z$64)+(R65*$Z$65))/$Z$66</f>
        <v>1.32</v>
      </c>
      <c r="S66" s="4">
        <f>((S64*$Z$64)+(S65*$Z$65))/$Z$66</f>
        <v>98.548387096774192</v>
      </c>
      <c r="T66" s="62">
        <f t="shared" si="36"/>
        <v>0</v>
      </c>
      <c r="U66" s="4">
        <f>((U64*$Z$64)+(U65*$Z$65))/$Z$66</f>
        <v>0</v>
      </c>
      <c r="V66" s="4">
        <f>((V64*$Z$64)+(V65*$Z$65))/$Z$66</f>
        <v>0</v>
      </c>
      <c r="W66" s="53">
        <f>((W64*$Z$64)+(W65*$Z$65))/$Z$66</f>
        <v>98.548387096774192</v>
      </c>
      <c r="X66" s="53">
        <f>((X64*$Z$64)+(X65*$Z$65))/$Z$66</f>
        <v>0.19393241167434871</v>
      </c>
      <c r="Y66" s="40">
        <f>Y64+Y65</f>
        <v>393</v>
      </c>
      <c r="Z66" s="19">
        <f>Z64+Z65</f>
        <v>42</v>
      </c>
      <c r="AD66" s="118"/>
      <c r="AE66" s="118"/>
      <c r="AT66" s="24"/>
    </row>
    <row r="67" spans="1:46" x14ac:dyDescent="0.2">
      <c r="B67" s="27" t="s">
        <v>63</v>
      </c>
      <c r="C67" s="27"/>
      <c r="D67" s="7">
        <f>$C$5-(G67+H67+I67)</f>
        <v>0</v>
      </c>
      <c r="E67" s="114">
        <v>0</v>
      </c>
      <c r="F67" s="114">
        <v>0</v>
      </c>
      <c r="G67" s="9">
        <v>744</v>
      </c>
      <c r="H67" s="114">
        <v>0</v>
      </c>
      <c r="I67" s="114">
        <v>0</v>
      </c>
      <c r="J67" s="119">
        <f>IF(E67=0,0,IF((L67/E67)&gt;Z67,0,((Z67-(L67/E67))*E67/Z67)))</f>
        <v>0</v>
      </c>
      <c r="K67" s="9">
        <v>0</v>
      </c>
      <c r="L67" s="44">
        <v>0</v>
      </c>
      <c r="M67" s="14">
        <f>E67+F67+G67+H67+I67</f>
        <v>744</v>
      </c>
      <c r="O67" s="3" t="s">
        <v>63</v>
      </c>
      <c r="P67" s="3">
        <f>D67/$C$5*100</f>
        <v>0</v>
      </c>
      <c r="Q67" s="5">
        <f>(D67-J67)*100/$C$5</f>
        <v>0</v>
      </c>
      <c r="R67" s="18">
        <f>(Y67*100)/($C$5*Z67)</f>
        <v>0</v>
      </c>
      <c r="S67" s="3">
        <f>IF((AND(E67=0,G67=0)),0,G67/(E67+G67)*100)</f>
        <v>100</v>
      </c>
      <c r="T67" s="3">
        <f t="shared" si="36"/>
        <v>0</v>
      </c>
      <c r="U67" s="3">
        <f>H67*100/$C$5</f>
        <v>0</v>
      </c>
      <c r="V67" s="3">
        <f>I67/$C$5*100</f>
        <v>0</v>
      </c>
      <c r="W67" s="18">
        <f>G67*100/$C$5</f>
        <v>100</v>
      </c>
      <c r="X67" s="18">
        <f>J67*100/$C$5</f>
        <v>0</v>
      </c>
      <c r="Y67" s="40">
        <f>L67</f>
        <v>0</v>
      </c>
      <c r="Z67" s="49">
        <v>21</v>
      </c>
      <c r="AA67" s="40">
        <f>Z67*$C$5</f>
        <v>15624</v>
      </c>
      <c r="AD67" s="18"/>
      <c r="AE67" s="18"/>
      <c r="AT67" s="24"/>
    </row>
    <row r="68" spans="1:46" x14ac:dyDescent="0.2">
      <c r="A68" s="30" t="s">
        <v>49</v>
      </c>
      <c r="B68" s="27" t="s">
        <v>64</v>
      </c>
      <c r="C68" s="27"/>
      <c r="D68" s="7">
        <f>$C$5-(G68+H68+I68)</f>
        <v>0</v>
      </c>
      <c r="E68" s="114">
        <v>0</v>
      </c>
      <c r="F68" s="114">
        <v>0</v>
      </c>
      <c r="G68" s="9">
        <v>744</v>
      </c>
      <c r="H68" s="114">
        <v>0</v>
      </c>
      <c r="I68" s="114">
        <v>0</v>
      </c>
      <c r="J68" s="114">
        <f>IF(E68=0,0,IF((L68/E68)&gt;Z68,0,((Z68-(L68/E68))*E68/Z68)))</f>
        <v>0</v>
      </c>
      <c r="K68" s="9">
        <v>0</v>
      </c>
      <c r="L68" s="44">
        <v>0</v>
      </c>
      <c r="M68" s="14">
        <f>E68+F68+G68+H68+I68</f>
        <v>744</v>
      </c>
      <c r="N68" s="30" t="s">
        <v>49</v>
      </c>
      <c r="O68" s="3" t="s">
        <v>64</v>
      </c>
      <c r="P68" s="3">
        <f>D68/$C$5*100</f>
        <v>0</v>
      </c>
      <c r="Q68" s="5">
        <f>(D68-J68)*100/$C$5</f>
        <v>0</v>
      </c>
      <c r="R68" s="18">
        <f>(Y68*100)/($C$5*Z68)</f>
        <v>0</v>
      </c>
      <c r="S68" s="3">
        <f>IF((AND(E68=0,G68=0)),0,G68/(E68+G68)*100)</f>
        <v>100</v>
      </c>
      <c r="T68" s="3">
        <f t="shared" si="36"/>
        <v>0</v>
      </c>
      <c r="U68" s="3">
        <f>H68*100/$C$5</f>
        <v>0</v>
      </c>
      <c r="V68" s="3">
        <f>I68/$C$5*100</f>
        <v>0</v>
      </c>
      <c r="W68" s="18">
        <f>G68*100/$C$5</f>
        <v>100</v>
      </c>
      <c r="X68" s="18">
        <f>J68*100/$C$5</f>
        <v>0</v>
      </c>
      <c r="Y68" s="40">
        <f>L68</f>
        <v>0</v>
      </c>
      <c r="Z68" s="49">
        <v>21</v>
      </c>
      <c r="AA68" s="40">
        <f>Z68*$C$5</f>
        <v>15624</v>
      </c>
      <c r="AD68" s="18"/>
      <c r="AE68" s="18"/>
      <c r="AT68" s="24"/>
    </row>
    <row r="69" spans="1:46" ht="14.25" thickBot="1" x14ac:dyDescent="0.25">
      <c r="A69" s="50"/>
      <c r="B69" s="51" t="s">
        <v>38</v>
      </c>
      <c r="C69" s="4"/>
      <c r="D69" s="120">
        <f t="shared" ref="D69:L69" si="41">D67+D68</f>
        <v>0</v>
      </c>
      <c r="E69" s="120">
        <f t="shared" si="41"/>
        <v>0</v>
      </c>
      <c r="F69" s="120">
        <f t="shared" si="41"/>
        <v>0</v>
      </c>
      <c r="G69" s="116">
        <f t="shared" si="41"/>
        <v>1488</v>
      </c>
      <c r="H69" s="116">
        <f t="shared" si="41"/>
        <v>0</v>
      </c>
      <c r="I69" s="116">
        <f t="shared" si="41"/>
        <v>0</v>
      </c>
      <c r="J69" s="117">
        <f t="shared" si="41"/>
        <v>0</v>
      </c>
      <c r="K69" s="116">
        <f t="shared" si="41"/>
        <v>0</v>
      </c>
      <c r="L69" s="39">
        <f t="shared" si="41"/>
        <v>0</v>
      </c>
      <c r="M69" s="14">
        <f>(E69+F69+G69+H69+I69)/2</f>
        <v>744</v>
      </c>
      <c r="N69" s="50"/>
      <c r="O69" s="51" t="s">
        <v>38</v>
      </c>
      <c r="P69" s="4">
        <f>((P67*$Z$67)+(P68*$Z$68))/$Z$66</f>
        <v>0</v>
      </c>
      <c r="Q69" s="62">
        <f>((Q67*$Z$67)+(Q68*$Z$68))/$Z$66</f>
        <v>0</v>
      </c>
      <c r="R69" s="4">
        <f>((R67*$Z$67)+(R68*$Z$68))/$Z$66</f>
        <v>0</v>
      </c>
      <c r="S69" s="4">
        <f>((S67*$Z$67)+(S68*$Z$68))/$Z$66</f>
        <v>100</v>
      </c>
      <c r="T69" s="62">
        <f t="shared" si="36"/>
        <v>0</v>
      </c>
      <c r="U69" s="4">
        <f>((U67*$Z$67)+(U68*$Z$68))/$Z$66</f>
        <v>0</v>
      </c>
      <c r="V69" s="4">
        <f>((V67*$Z$67)+(V68*$Z$68))/$Z$66</f>
        <v>0</v>
      </c>
      <c r="W69" s="53">
        <f>((W67*$Z$67)+(W68*$Z$68))/$Z$66</f>
        <v>100</v>
      </c>
      <c r="X69" s="53">
        <f>((X67*$Z$67)+(X68*$Z$68))/$Z$66</f>
        <v>0</v>
      </c>
      <c r="Y69" s="40">
        <f>Y67+Y68</f>
        <v>0</v>
      </c>
      <c r="Z69" s="19">
        <f>Z67+Z68</f>
        <v>42</v>
      </c>
      <c r="AD69" s="118"/>
      <c r="AE69" s="118"/>
      <c r="AT69" s="24"/>
    </row>
    <row r="70" spans="1:46" x14ac:dyDescent="0.2">
      <c r="B70" s="27" t="s">
        <v>56</v>
      </c>
      <c r="C70" s="27"/>
      <c r="D70" s="38">
        <f>E70+F70</f>
        <v>0</v>
      </c>
      <c r="E70" s="114">
        <v>0</v>
      </c>
      <c r="F70" s="114">
        <v>0</v>
      </c>
      <c r="G70" s="114">
        <v>0</v>
      </c>
      <c r="H70" s="9">
        <v>744</v>
      </c>
      <c r="I70" s="114">
        <v>0</v>
      </c>
      <c r="J70" s="114">
        <v>0</v>
      </c>
      <c r="K70" s="9">
        <v>0</v>
      </c>
      <c r="L70" s="44">
        <v>0</v>
      </c>
      <c r="M70" s="14">
        <f>E70+F70+G70+H70+I70</f>
        <v>744</v>
      </c>
      <c r="O70" s="3" t="s">
        <v>56</v>
      </c>
      <c r="P70" s="3">
        <f>D70/$C$5*100</f>
        <v>0</v>
      </c>
      <c r="Q70" s="5">
        <f>(D70-J70)*100/$C$5</f>
        <v>0</v>
      </c>
      <c r="R70" s="18">
        <f>0</f>
        <v>0</v>
      </c>
      <c r="S70" s="3">
        <f>IF((AND(E70=0,G70=0)),0,G70/(E70+G70)*100)</f>
        <v>0</v>
      </c>
      <c r="T70" s="3">
        <f t="shared" ref="T70:T82" si="42">AE70</f>
        <v>0</v>
      </c>
      <c r="U70" s="3">
        <f>H70*100/$C$5</f>
        <v>100</v>
      </c>
      <c r="V70" s="3">
        <f>I70/$C$5*100</f>
        <v>0</v>
      </c>
      <c r="W70" s="18">
        <f>G70*100/$C$5</f>
        <v>0</v>
      </c>
      <c r="X70" s="18">
        <f>J70*100/$C$5</f>
        <v>0</v>
      </c>
      <c r="Y70" s="40">
        <f>L70</f>
        <v>0</v>
      </c>
      <c r="Z70" s="49">
        <v>21</v>
      </c>
      <c r="AA70" s="40">
        <f>Z70*$C$5</f>
        <v>15624</v>
      </c>
      <c r="AD70" s="18"/>
      <c r="AE70" s="18"/>
      <c r="AT70" s="24"/>
    </row>
    <row r="71" spans="1:46" x14ac:dyDescent="0.2">
      <c r="A71" s="30" t="s">
        <v>76</v>
      </c>
      <c r="B71" s="27" t="s">
        <v>58</v>
      </c>
      <c r="C71" s="27"/>
      <c r="D71" s="38">
        <f>E71+F71</f>
        <v>744</v>
      </c>
      <c r="E71" s="114">
        <v>100.7</v>
      </c>
      <c r="F71" s="114">
        <v>643.29999999999995</v>
      </c>
      <c r="G71" s="114">
        <v>0</v>
      </c>
      <c r="H71" s="114">
        <v>0</v>
      </c>
      <c r="I71" s="114">
        <v>0</v>
      </c>
      <c r="J71" s="125">
        <v>0</v>
      </c>
      <c r="K71" s="9">
        <v>0</v>
      </c>
      <c r="L71" s="44">
        <v>1498</v>
      </c>
      <c r="M71" s="14">
        <f>E71+F71+G71+H71+I71</f>
        <v>744</v>
      </c>
      <c r="N71" s="30" t="s">
        <v>76</v>
      </c>
      <c r="O71" s="3" t="s">
        <v>58</v>
      </c>
      <c r="P71" s="3">
        <f>D71/$C$5*100</f>
        <v>100</v>
      </c>
      <c r="Q71" s="5">
        <f>(D71-J71)*100/$C$5</f>
        <v>100</v>
      </c>
      <c r="R71" s="18">
        <f>10.07</f>
        <v>10.07</v>
      </c>
      <c r="S71" s="3">
        <f>IF((AND(E71=0,G71=0)),0,G71/(E71+G71)*100)</f>
        <v>0</v>
      </c>
      <c r="T71" s="3">
        <f t="shared" si="42"/>
        <v>0</v>
      </c>
      <c r="U71" s="3">
        <f>H71*100/$C$5</f>
        <v>0</v>
      </c>
      <c r="V71" s="3">
        <f>I71/$C$5*100</f>
        <v>0</v>
      </c>
      <c r="W71" s="18">
        <f>G71*100/$C$5</f>
        <v>0</v>
      </c>
      <c r="X71" s="18">
        <f>J71*100/$C$5</f>
        <v>0</v>
      </c>
      <c r="Y71" s="40">
        <f>L71</f>
        <v>1498</v>
      </c>
      <c r="Z71" s="49">
        <v>21</v>
      </c>
      <c r="AA71" s="40">
        <f>Z71*$C$5</f>
        <v>15624</v>
      </c>
      <c r="AD71" s="18"/>
      <c r="AE71" s="18"/>
      <c r="AT71" s="24"/>
    </row>
    <row r="72" spans="1:46" ht="14.25" thickBot="1" x14ac:dyDescent="0.25">
      <c r="A72" s="50"/>
      <c r="B72" s="51" t="s">
        <v>38</v>
      </c>
      <c r="C72" s="4"/>
      <c r="D72" s="116">
        <f t="shared" ref="D72:L72" si="43">D70+D71</f>
        <v>744</v>
      </c>
      <c r="E72" s="116">
        <f t="shared" si="43"/>
        <v>100.7</v>
      </c>
      <c r="F72" s="116">
        <f t="shared" si="43"/>
        <v>643.29999999999995</v>
      </c>
      <c r="G72" s="116">
        <f t="shared" si="43"/>
        <v>0</v>
      </c>
      <c r="H72" s="116">
        <f t="shared" si="43"/>
        <v>744</v>
      </c>
      <c r="I72" s="116">
        <f t="shared" si="43"/>
        <v>0</v>
      </c>
      <c r="J72" s="122">
        <f t="shared" si="43"/>
        <v>0</v>
      </c>
      <c r="K72" s="116">
        <f t="shared" si="43"/>
        <v>0</v>
      </c>
      <c r="L72" s="39">
        <f t="shared" si="43"/>
        <v>1498</v>
      </c>
      <c r="M72" s="14">
        <f>(E72+F72+G72+H72+I72)/2</f>
        <v>744</v>
      </c>
      <c r="N72" s="50"/>
      <c r="O72" s="51" t="s">
        <v>38</v>
      </c>
      <c r="P72" s="4">
        <f>((P70*$Z$70)+(P71*$Z$71))/$Z$72</f>
        <v>50</v>
      </c>
      <c r="Q72" s="62">
        <f>((Q70*$Z$70)+(Q71*$Z$71))/$Z$72</f>
        <v>50</v>
      </c>
      <c r="R72" s="4">
        <f>((R70*$Z$70)+(R71*$Z$71))/$Z$72</f>
        <v>5.0350000000000001</v>
      </c>
      <c r="S72" s="4">
        <f>((S70*$Z$70)+(S71*$Z$71))/$Z$72</f>
        <v>0</v>
      </c>
      <c r="T72" s="62">
        <f t="shared" si="42"/>
        <v>0</v>
      </c>
      <c r="U72" s="4">
        <f>((U70*$Z$70)+(U71*$Z$71))/$Z$72</f>
        <v>50</v>
      </c>
      <c r="V72" s="4">
        <f>((V70*$Z$70)+(V71*$Z$71))/$Z$72</f>
        <v>0</v>
      </c>
      <c r="W72" s="53">
        <f>((W70*$Z$70)+(W71*$Z$71))/$Z$72</f>
        <v>0</v>
      </c>
      <c r="X72" s="53">
        <f>((X70*$Z$70)+(X71*$Z$71))/$Z$72</f>
        <v>0</v>
      </c>
      <c r="Y72" s="40">
        <f>Y70+Y71</f>
        <v>1498</v>
      </c>
      <c r="Z72" s="19">
        <f>Z70+Z71</f>
        <v>42</v>
      </c>
      <c r="AD72" s="118"/>
      <c r="AE72" s="118"/>
      <c r="AT72" s="24"/>
    </row>
    <row r="73" spans="1:46" x14ac:dyDescent="0.2">
      <c r="B73" s="27" t="s">
        <v>56</v>
      </c>
      <c r="C73" s="27"/>
      <c r="D73" s="38">
        <f>E73+F73</f>
        <v>0</v>
      </c>
      <c r="E73" s="9">
        <v>0</v>
      </c>
      <c r="F73" s="9">
        <v>0</v>
      </c>
      <c r="G73" s="9">
        <v>744</v>
      </c>
      <c r="H73" s="114">
        <v>0</v>
      </c>
      <c r="I73" s="114">
        <v>0</v>
      </c>
      <c r="J73" s="114">
        <f>IF(E73=0,0,IF((L73/E73)&gt;Z73,0,((Z73-(L73/E73))*E73/Z73)))</f>
        <v>0</v>
      </c>
      <c r="K73" s="9">
        <v>0</v>
      </c>
      <c r="L73" s="44">
        <v>0</v>
      </c>
      <c r="M73" s="14">
        <f>E73+F73+G73+H73+I73</f>
        <v>744</v>
      </c>
      <c r="O73" s="3" t="s">
        <v>56</v>
      </c>
      <c r="P73" s="3">
        <f>D73/$C$5*100</f>
        <v>0</v>
      </c>
      <c r="Q73" s="5">
        <f>(D73-J73)*100/$C$5</f>
        <v>0</v>
      </c>
      <c r="R73" s="18">
        <f>0</f>
        <v>0</v>
      </c>
      <c r="S73" s="3">
        <f>IF((AND(E73=0,G73=0)),0,G73/(E73+G73)*100)</f>
        <v>100</v>
      </c>
      <c r="T73" s="3">
        <f t="shared" si="42"/>
        <v>0</v>
      </c>
      <c r="U73" s="3">
        <f>H73*100/$C$5</f>
        <v>0</v>
      </c>
      <c r="V73" s="3">
        <f>I73/$C$5*100</f>
        <v>0</v>
      </c>
      <c r="W73" s="18">
        <f>G73*100/$C$5</f>
        <v>100</v>
      </c>
      <c r="X73" s="18">
        <f>J73*100/$C$5</f>
        <v>0</v>
      </c>
      <c r="Y73" s="40">
        <f>L73</f>
        <v>0</v>
      </c>
      <c r="Z73" s="49">
        <v>21</v>
      </c>
      <c r="AA73" s="40">
        <f>Z73*$C$5</f>
        <v>15624</v>
      </c>
      <c r="AD73" s="18"/>
      <c r="AE73" s="18"/>
      <c r="AT73" s="24"/>
    </row>
    <row r="74" spans="1:46" x14ac:dyDescent="0.2">
      <c r="A74" s="30" t="s">
        <v>77</v>
      </c>
      <c r="B74" s="27" t="s">
        <v>58</v>
      </c>
      <c r="C74" s="27"/>
      <c r="D74" s="38">
        <f>E74+F74</f>
        <v>0</v>
      </c>
      <c r="E74" s="9">
        <v>0</v>
      </c>
      <c r="F74" s="9">
        <v>0</v>
      </c>
      <c r="G74" s="9">
        <v>744</v>
      </c>
      <c r="H74" s="114">
        <v>0</v>
      </c>
      <c r="I74" s="114">
        <v>0</v>
      </c>
      <c r="J74" s="182">
        <f>IF(E74=0,0,IF((L74/E74)&gt;Z74,0,((Z74-(L74/E74))*E74/Z74)))</f>
        <v>0</v>
      </c>
      <c r="K74" s="9">
        <v>0</v>
      </c>
      <c r="L74" s="44">
        <v>0</v>
      </c>
      <c r="M74" s="14">
        <f>E74+F74+G74+H74+I74</f>
        <v>744</v>
      </c>
      <c r="N74" s="30" t="s">
        <v>77</v>
      </c>
      <c r="O74" s="3" t="s">
        <v>58</v>
      </c>
      <c r="P74" s="3">
        <f>D74/$C$5*100</f>
        <v>0</v>
      </c>
      <c r="Q74" s="5">
        <f>(D74-J74)*100/$C$5</f>
        <v>0</v>
      </c>
      <c r="R74" s="18">
        <f>0</f>
        <v>0</v>
      </c>
      <c r="S74" s="3">
        <f>IF((AND(E74=0,G74=0)),0,G74/(E74+G74)*100)</f>
        <v>100</v>
      </c>
      <c r="T74" s="3">
        <f t="shared" si="42"/>
        <v>0</v>
      </c>
      <c r="U74" s="3">
        <f>H74*100/$C$5</f>
        <v>0</v>
      </c>
      <c r="V74" s="3">
        <f>I74/$C$5*100</f>
        <v>0</v>
      </c>
      <c r="W74" s="18">
        <f>G74*100/$C$5</f>
        <v>100</v>
      </c>
      <c r="X74" s="18">
        <f>J74*100/$C$5</f>
        <v>0</v>
      </c>
      <c r="Y74" s="40">
        <f>L74</f>
        <v>0</v>
      </c>
      <c r="Z74" s="49">
        <v>21</v>
      </c>
      <c r="AA74" s="40">
        <f>Z74*$C$5</f>
        <v>15624</v>
      </c>
      <c r="AD74" s="18"/>
      <c r="AE74" s="18"/>
      <c r="AT74" s="24"/>
    </row>
    <row r="75" spans="1:46" ht="14.25" thickBot="1" x14ac:dyDescent="0.25">
      <c r="A75" s="50"/>
      <c r="B75" s="51" t="s">
        <v>38</v>
      </c>
      <c r="C75" s="4"/>
      <c r="D75" s="116">
        <f t="shared" ref="D75:L75" si="44">D73+D74</f>
        <v>0</v>
      </c>
      <c r="E75" s="116">
        <f t="shared" si="44"/>
        <v>0</v>
      </c>
      <c r="F75" s="116">
        <f t="shared" si="44"/>
        <v>0</v>
      </c>
      <c r="G75" s="116">
        <f t="shared" si="44"/>
        <v>1488</v>
      </c>
      <c r="H75" s="116">
        <f t="shared" si="44"/>
        <v>0</v>
      </c>
      <c r="I75" s="116">
        <f t="shared" si="44"/>
        <v>0</v>
      </c>
      <c r="J75" s="9">
        <f t="shared" si="44"/>
        <v>0</v>
      </c>
      <c r="K75" s="116">
        <f t="shared" si="44"/>
        <v>0</v>
      </c>
      <c r="L75" s="39">
        <f t="shared" si="44"/>
        <v>0</v>
      </c>
      <c r="M75" s="14">
        <f>(E75+F75+G75+H75+I75)/2</f>
        <v>744</v>
      </c>
      <c r="N75" s="50"/>
      <c r="O75" s="51" t="s">
        <v>38</v>
      </c>
      <c r="P75" s="4">
        <f>((P73*$Z$73)+(P74*$Z$74))/$Z$75</f>
        <v>0</v>
      </c>
      <c r="Q75" s="62">
        <f>((Q73*$Z$73)+(Q74*$Z$74))/$Z$75</f>
        <v>0</v>
      </c>
      <c r="R75" s="4">
        <f>((R73*$Z$73)+(R74*$Z$74))/$Z$75</f>
        <v>0</v>
      </c>
      <c r="S75" s="4">
        <f>((S73*$Z$73)+(S74*$Z$74))/$Z$75</f>
        <v>100</v>
      </c>
      <c r="T75" s="62">
        <f t="shared" si="42"/>
        <v>0</v>
      </c>
      <c r="U75" s="4">
        <f>((U73*$Z$73)+(U74*$Z$74))/$Z$75</f>
        <v>0</v>
      </c>
      <c r="V75" s="4">
        <f>((V73*$Z$73)+(V74*$Z$74))/$Z$75</f>
        <v>0</v>
      </c>
      <c r="W75" s="53">
        <f>((W73*$Z$73)+(W74*$Z$74))/$Z$75</f>
        <v>100</v>
      </c>
      <c r="X75" s="53">
        <f>((X73*$Z$73)+(X74*$Z$74))/$Z$75</f>
        <v>0</v>
      </c>
      <c r="Y75" s="40">
        <f>Y73+Y74</f>
        <v>0</v>
      </c>
      <c r="Z75" s="19">
        <f>Z73+Z74</f>
        <v>42</v>
      </c>
      <c r="AD75" s="118"/>
      <c r="AE75" s="118"/>
      <c r="AT75" s="24"/>
    </row>
    <row r="76" spans="1:46" x14ac:dyDescent="0.2">
      <c r="B76" s="27" t="s">
        <v>56</v>
      </c>
      <c r="C76" s="27"/>
      <c r="D76" s="38">
        <f>$C$5-(G76+H76+I76)</f>
        <v>0</v>
      </c>
      <c r="E76" s="9">
        <v>0</v>
      </c>
      <c r="F76" s="9">
        <v>0</v>
      </c>
      <c r="G76" s="9">
        <v>744</v>
      </c>
      <c r="H76" s="114">
        <v>0</v>
      </c>
      <c r="I76" s="114">
        <v>0</v>
      </c>
      <c r="J76" s="119">
        <v>0</v>
      </c>
      <c r="K76" s="9">
        <v>0</v>
      </c>
      <c r="L76" s="44">
        <v>0</v>
      </c>
      <c r="M76" s="14">
        <f>E76+F76+G76+H76+I76</f>
        <v>744</v>
      </c>
      <c r="O76" s="3" t="s">
        <v>56</v>
      </c>
      <c r="P76" s="3">
        <f>D76/$C$5*100</f>
        <v>0</v>
      </c>
      <c r="Q76" s="5">
        <f>(D76-J76)*100/$C$5</f>
        <v>0</v>
      </c>
      <c r="R76" s="18">
        <f>0</f>
        <v>0</v>
      </c>
      <c r="S76" s="3">
        <f>IF((AND(E76=0,G76=0)),0,G76/(E76+G76)*100)</f>
        <v>100</v>
      </c>
      <c r="T76" s="3">
        <f t="shared" si="42"/>
        <v>0</v>
      </c>
      <c r="U76" s="3">
        <f>H76*100/$C$5</f>
        <v>0</v>
      </c>
      <c r="V76" s="3">
        <f>I76/$C$5*100</f>
        <v>0</v>
      </c>
      <c r="W76" s="18">
        <f>G76*100/$C$5</f>
        <v>100</v>
      </c>
      <c r="X76" s="18">
        <f>J76*100/$C$5</f>
        <v>0</v>
      </c>
      <c r="Y76" s="40">
        <f>L76</f>
        <v>0</v>
      </c>
      <c r="Z76" s="49">
        <v>21</v>
      </c>
      <c r="AA76" s="40">
        <f>Z76*$C$5</f>
        <v>15624</v>
      </c>
      <c r="AD76" s="18"/>
      <c r="AE76" s="18"/>
      <c r="AT76" s="24"/>
    </row>
    <row r="77" spans="1:46" x14ac:dyDescent="0.2">
      <c r="A77" s="30" t="s">
        <v>78</v>
      </c>
      <c r="B77" s="27" t="s">
        <v>58</v>
      </c>
      <c r="C77" s="27"/>
      <c r="D77" s="38">
        <f>E77+F77</f>
        <v>744</v>
      </c>
      <c r="E77" s="9">
        <v>92</v>
      </c>
      <c r="F77" s="9">
        <v>652</v>
      </c>
      <c r="G77" s="9">
        <v>0</v>
      </c>
      <c r="H77" s="114">
        <v>0</v>
      </c>
      <c r="I77" s="114">
        <v>0</v>
      </c>
      <c r="J77" s="114">
        <v>0</v>
      </c>
      <c r="K77" s="9">
        <v>0</v>
      </c>
      <c r="L77" s="44">
        <v>1813</v>
      </c>
      <c r="M77" s="14">
        <f>E77+F77+G77+H77+I77</f>
        <v>744</v>
      </c>
      <c r="N77" s="30" t="s">
        <v>78</v>
      </c>
      <c r="O77" s="3" t="s">
        <v>58</v>
      </c>
      <c r="P77" s="3">
        <f>D77/$C$5*100</f>
        <v>100</v>
      </c>
      <c r="Q77" s="5">
        <f>(D77-J77)*100/$C$5</f>
        <v>100</v>
      </c>
      <c r="R77" s="18">
        <f>12.18</f>
        <v>12.18</v>
      </c>
      <c r="S77" s="3">
        <f>IF((AND(E77=0,G77=0)),0,G77/(E77+G77)*100)</f>
        <v>0</v>
      </c>
      <c r="T77" s="3">
        <f t="shared" si="42"/>
        <v>0</v>
      </c>
      <c r="U77" s="3">
        <f>H77*100/$C$5</f>
        <v>0</v>
      </c>
      <c r="V77" s="3">
        <f>I77/$C$5*100</f>
        <v>0</v>
      </c>
      <c r="W77" s="18">
        <f>G77*100/$C$5</f>
        <v>0</v>
      </c>
      <c r="X77" s="18">
        <f>J77*100/$C$5</f>
        <v>0</v>
      </c>
      <c r="Y77" s="40">
        <f>L77</f>
        <v>1813</v>
      </c>
      <c r="Z77" s="49">
        <v>21</v>
      </c>
      <c r="AA77" s="40">
        <f>Z77*$C$5</f>
        <v>15624</v>
      </c>
      <c r="AD77" s="18"/>
      <c r="AE77" s="18"/>
      <c r="AT77" s="24"/>
    </row>
    <row r="78" spans="1:46" ht="14.25" thickBot="1" x14ac:dyDescent="0.25">
      <c r="A78" s="50"/>
      <c r="B78" s="51" t="s">
        <v>38</v>
      </c>
      <c r="C78" s="4"/>
      <c r="D78" s="116">
        <f t="shared" ref="D78:I78" si="45">D76+D77</f>
        <v>744</v>
      </c>
      <c r="E78" s="116">
        <f t="shared" si="45"/>
        <v>92</v>
      </c>
      <c r="F78" s="116">
        <f t="shared" si="45"/>
        <v>652</v>
      </c>
      <c r="G78" s="116">
        <f t="shared" si="45"/>
        <v>744</v>
      </c>
      <c r="H78" s="116">
        <f t="shared" si="45"/>
        <v>0</v>
      </c>
      <c r="I78" s="116">
        <f t="shared" si="45"/>
        <v>0</v>
      </c>
      <c r="J78" s="117">
        <f>J77+J76</f>
        <v>0</v>
      </c>
      <c r="K78" s="116">
        <f>K76+K77</f>
        <v>0</v>
      </c>
      <c r="L78" s="39">
        <f>L76+L77</f>
        <v>1813</v>
      </c>
      <c r="M78" s="14">
        <f>(E78+F78+G78+H78+I78)/2</f>
        <v>744</v>
      </c>
      <c r="N78" s="50"/>
      <c r="O78" s="51" t="s">
        <v>38</v>
      </c>
      <c r="P78" s="4">
        <f>((P76*$Z$76)+(P77*$Z$77))/$Z$78</f>
        <v>50</v>
      </c>
      <c r="Q78" s="62">
        <f>((Q76*$Z$76)+(Q77*$Z$77))/$Z$78</f>
        <v>50</v>
      </c>
      <c r="R78" s="4">
        <f>((R76*$Z$76)+(R77*$Z$77))/$Z$78</f>
        <v>6.09</v>
      </c>
      <c r="S78" s="4">
        <f>((S76*$Z$76)+(S77*$Z$77))/$Z$78</f>
        <v>50</v>
      </c>
      <c r="T78" s="62">
        <f t="shared" si="42"/>
        <v>0</v>
      </c>
      <c r="U78" s="4">
        <f>((U76*$Z$76)+(U77*$Z$77))/$Z$78</f>
        <v>0</v>
      </c>
      <c r="V78" s="4">
        <f>((V76*$Z$76)+(V77*$Z$77))/$Z$78</f>
        <v>0</v>
      </c>
      <c r="W78" s="53">
        <f>((W76*$Z$76)+(W77*$Z$77))/$Z$78</f>
        <v>50</v>
      </c>
      <c r="X78" s="53">
        <f>((X76*$Z$76)+(X77*$Z$77))/$Z$78</f>
        <v>0</v>
      </c>
      <c r="Y78" s="40">
        <f>Y76+Y77</f>
        <v>1813</v>
      </c>
      <c r="Z78" s="19">
        <f>Z76+Z77</f>
        <v>42</v>
      </c>
      <c r="AD78" s="118"/>
      <c r="AE78" s="118"/>
      <c r="AT78" s="24"/>
    </row>
    <row r="79" spans="1:46" ht="17.25" customHeight="1" x14ac:dyDescent="0.2">
      <c r="B79" s="27" t="s">
        <v>56</v>
      </c>
      <c r="C79" s="27"/>
      <c r="D79" s="38">
        <f>$C$5-(G79+H79+I79)</f>
        <v>744</v>
      </c>
      <c r="E79" s="114">
        <v>119</v>
      </c>
      <c r="F79" s="114">
        <v>625</v>
      </c>
      <c r="G79" s="114">
        <v>0</v>
      </c>
      <c r="H79" s="114">
        <v>0</v>
      </c>
      <c r="I79" s="114">
        <v>0</v>
      </c>
      <c r="J79" s="114">
        <v>0</v>
      </c>
      <c r="K79" s="9">
        <v>0</v>
      </c>
      <c r="L79" s="44">
        <v>2364</v>
      </c>
      <c r="M79" s="14">
        <f>E79+F79+G79+H79+I79</f>
        <v>744</v>
      </c>
      <c r="O79" s="3" t="s">
        <v>56</v>
      </c>
      <c r="P79" s="3">
        <f>D79/$C$5*100</f>
        <v>100</v>
      </c>
      <c r="Q79" s="5">
        <f>(D79-J79)*100/$C$5</f>
        <v>100</v>
      </c>
      <c r="R79" s="18">
        <f>15.89</f>
        <v>15.89</v>
      </c>
      <c r="S79" s="3">
        <f>IF((AND(E79=0,G79=0)),0,G79/(E79+G79)*100)</f>
        <v>0</v>
      </c>
      <c r="T79" s="3">
        <f t="shared" si="42"/>
        <v>0</v>
      </c>
      <c r="U79" s="3">
        <f>H79*100/$C$5</f>
        <v>0</v>
      </c>
      <c r="V79" s="3">
        <f>I79/$C$5*100</f>
        <v>0</v>
      </c>
      <c r="W79" s="18">
        <f>G79*100/$C$5</f>
        <v>0</v>
      </c>
      <c r="X79" s="18">
        <f>J79*100/$C$5</f>
        <v>0</v>
      </c>
      <c r="Y79" s="40">
        <f>L79</f>
        <v>2364</v>
      </c>
      <c r="Z79" s="49">
        <v>21</v>
      </c>
      <c r="AA79" s="40">
        <f>Z79*$C$5</f>
        <v>15624</v>
      </c>
      <c r="AD79" s="18"/>
      <c r="AE79" s="18"/>
      <c r="AT79" s="24"/>
    </row>
    <row r="80" spans="1:46" x14ac:dyDescent="0.2">
      <c r="A80" s="30" t="s">
        <v>79</v>
      </c>
      <c r="B80" s="123" t="s">
        <v>58</v>
      </c>
      <c r="C80" s="123"/>
      <c r="D80" s="124">
        <f>$C$5-(G80+H80+I80)</f>
        <v>744</v>
      </c>
      <c r="E80" s="125">
        <v>55.2</v>
      </c>
      <c r="F80" s="114">
        <v>688.8</v>
      </c>
      <c r="G80" s="114">
        <v>0</v>
      </c>
      <c r="H80" s="114">
        <v>0</v>
      </c>
      <c r="I80" s="114">
        <v>0</v>
      </c>
      <c r="J80" s="125">
        <v>0</v>
      </c>
      <c r="K80" s="9">
        <v>0</v>
      </c>
      <c r="L80" s="44">
        <v>903</v>
      </c>
      <c r="M80" s="14">
        <f>E80+F80+G80+H80+I80</f>
        <v>744</v>
      </c>
      <c r="N80" s="30" t="s">
        <v>79</v>
      </c>
      <c r="O80" s="3" t="s">
        <v>58</v>
      </c>
      <c r="P80" s="3">
        <f>D80/$C$5*100</f>
        <v>100</v>
      </c>
      <c r="Q80" s="5">
        <f>(D80-J80)*100/$C$5</f>
        <v>100</v>
      </c>
      <c r="R80" s="18">
        <f>6.07</f>
        <v>6.07</v>
      </c>
      <c r="S80" s="3">
        <f>IF((AND(E80=0,G80=0)),0,G80/(E80+G80)*100)</f>
        <v>0</v>
      </c>
      <c r="T80" s="3">
        <f t="shared" si="42"/>
        <v>0</v>
      </c>
      <c r="U80" s="3">
        <f>H80*100/$C$5</f>
        <v>0</v>
      </c>
      <c r="V80" s="3">
        <f>I80/$C$5*100</f>
        <v>0</v>
      </c>
      <c r="W80" s="18">
        <f>G80*100/$C$5</f>
        <v>0</v>
      </c>
      <c r="X80" s="18">
        <f>J80*100/$C$5</f>
        <v>0</v>
      </c>
      <c r="Y80" s="40">
        <f>L80</f>
        <v>903</v>
      </c>
      <c r="Z80" s="49">
        <v>21</v>
      </c>
      <c r="AA80" s="40">
        <f>Z80*$C$5</f>
        <v>15624</v>
      </c>
      <c r="AD80" s="18"/>
      <c r="AE80" s="18"/>
      <c r="AT80" s="24"/>
    </row>
    <row r="81" spans="1:46" ht="14.25" thickBot="1" x14ac:dyDescent="0.25">
      <c r="B81" s="14" t="s">
        <v>38</v>
      </c>
      <c r="D81" s="38">
        <f t="shared" ref="D81:K81" si="46">SUM(D79:D80)</f>
        <v>1488</v>
      </c>
      <c r="E81" s="116">
        <f t="shared" si="46"/>
        <v>174.2</v>
      </c>
      <c r="F81" s="116">
        <f t="shared" si="46"/>
        <v>1313.8</v>
      </c>
      <c r="G81" s="116">
        <f t="shared" si="46"/>
        <v>0</v>
      </c>
      <c r="H81" s="116">
        <f t="shared" si="46"/>
        <v>0</v>
      </c>
      <c r="I81" s="116">
        <f t="shared" si="46"/>
        <v>0</v>
      </c>
      <c r="J81" s="9">
        <f t="shared" si="46"/>
        <v>0</v>
      </c>
      <c r="K81" s="116">
        <f t="shared" si="46"/>
        <v>0</v>
      </c>
      <c r="L81" s="39">
        <f>SUM(L79:L80)</f>
        <v>3267</v>
      </c>
      <c r="M81" s="14">
        <f>(E81+F81+G81+H81+I81)/2</f>
        <v>744</v>
      </c>
      <c r="O81" s="69" t="s">
        <v>38</v>
      </c>
      <c r="P81" s="71">
        <f>((P79*$Z$79)+(P80*$Z$80))/$Z$81</f>
        <v>100</v>
      </c>
      <c r="Q81" s="126">
        <f>((Q79*$Z$79)+(Q80*$Z$80))/$Z$81</f>
        <v>100</v>
      </c>
      <c r="R81" s="71">
        <f>((R79*$Z$79)+(R80*$Z$80))/$Z$81</f>
        <v>10.979999999999999</v>
      </c>
      <c r="S81" s="71">
        <f>((S79*$Z$79)+(S80*$Z$80))/$Z$81</f>
        <v>0</v>
      </c>
      <c r="T81" s="126">
        <f t="shared" si="42"/>
        <v>0</v>
      </c>
      <c r="U81" s="71">
        <f>((U79*$Z$79)+(U80*$Z$80))/$Z$81</f>
        <v>0</v>
      </c>
      <c r="V81" s="71">
        <f>((V79*$Z$79)+(V80*$Z$80))/$Z$81</f>
        <v>0</v>
      </c>
      <c r="W81" s="70">
        <f>((W79*$Z$79)+(W80*$Z$80))/$Z$81</f>
        <v>0</v>
      </c>
      <c r="X81" s="70">
        <f>((X79*$Z$79)+(X80*$Z$80))/$Z$81</f>
        <v>0</v>
      </c>
      <c r="Y81" s="40">
        <f>Y79+Y80</f>
        <v>3267</v>
      </c>
      <c r="Z81" s="19">
        <f>Z79+Z80</f>
        <v>42</v>
      </c>
      <c r="AD81" s="118"/>
      <c r="AE81" s="118"/>
      <c r="AT81" s="24"/>
    </row>
    <row r="82" spans="1:46" ht="15" thickTop="1" thickBot="1" x14ac:dyDescent="0.25">
      <c r="A82" s="98" t="s">
        <v>80</v>
      </c>
      <c r="B82" s="99"/>
      <c r="C82" s="127"/>
      <c r="D82" s="73">
        <f>D63+D66+D69+D72+D75+D78+D81</f>
        <v>4977.6000000000004</v>
      </c>
      <c r="E82" s="73">
        <f>E63+E66+E69+E72+E75+E78+E81</f>
        <v>773.10000000000014</v>
      </c>
      <c r="F82" s="73">
        <f t="shared" ref="F82:K82" si="47">F63+F66+F69+F72+F75+F78+F81</f>
        <v>4204.5</v>
      </c>
      <c r="G82" s="73">
        <f t="shared" si="47"/>
        <v>5438.4</v>
      </c>
      <c r="H82" s="73">
        <f t="shared" si="47"/>
        <v>744</v>
      </c>
      <c r="I82" s="73">
        <f t="shared" si="47"/>
        <v>0</v>
      </c>
      <c r="J82" s="73">
        <f t="shared" si="47"/>
        <v>60.0571428571429</v>
      </c>
      <c r="K82" s="73">
        <f t="shared" si="47"/>
        <v>0</v>
      </c>
      <c r="L82" s="52">
        <f>L63+L66+L69+L72+L75+L78+L81</f>
        <v>13847</v>
      </c>
      <c r="M82" s="14">
        <f>(E82+F82+G82+H82+I82)/15</f>
        <v>744</v>
      </c>
      <c r="N82" s="72" t="s">
        <v>81</v>
      </c>
      <c r="O82" s="99"/>
      <c r="P82" s="74">
        <f>((P63*$Z$63)+(P66*$Z$66)+(P69*$Z$69)+(P72*$Z$72)+(P75*$Z$75)+(P78*$Z$78)+(P81*$Z$81)+(P130*$Z$130))/$Z$82</f>
        <v>65.9615975422427</v>
      </c>
      <c r="Q82" s="75">
        <f>((Q63*$Z$63)+(Q66*$Z$66)+(Q69*$Z$69)+(Q72*$Z$72)+(Q75*$Z$75)+(Q78*$Z$78)+(Q81*$Z$81)+(Q130*$Z$130))/$Z$82</f>
        <v>65.015531660692943</v>
      </c>
      <c r="R82" s="74">
        <f>((R63*$Z$63)+(R66*$Z$66)+(R69*$Z$69)+(R72*$Z$72)+(R75*$Z$75)+(R78*$Z$78)+(R81*$Z$81)+(R130*$Z$130))/$Z$82</f>
        <v>9.1255736473801008</v>
      </c>
      <c r="S82" s="74">
        <f>((S63*$Z$63)+(S66*$Z$66)+(S69*$Z$69)+(S72*$Z$72)+(S75*$Z$75)+(S78*$Z$78)+(S81*$Z$81)+(T130*$Z$130))/$Z$82</f>
        <v>62.66204600363843</v>
      </c>
      <c r="T82" s="74">
        <f t="shared" si="42"/>
        <v>0</v>
      </c>
      <c r="U82" s="74">
        <f>((U63*$Z$63)+(U66*$Z$66)+(U69*$Z$69)+(U72*$Z$72)+(U75*$Z$75)+(U78*$Z$78)+(U81*$Z$81)+(U130*$Z$130))/$Z$82</f>
        <v>6.666666666666667</v>
      </c>
      <c r="V82" s="74">
        <f>((V63*$Z$63)+(V66*$Z$66)+(V69*$Z$69)+(V72*$Z$72)+(V75*$Z$75)+(V78*$Z$78)+(V81*$Z$81)+(V130*$Z$130))/$Z$82</f>
        <v>0</v>
      </c>
      <c r="W82" s="76">
        <f>((W63*$Z$63)+(W66*$Z$66)+(W69*$Z$69)+(W72*$Z$72)+(W75*$Z$75)+(W78*$Z$78)+(W81*$Z$81)+(W130*$Z$130))/$Z$82</f>
        <v>53.086021505376344</v>
      </c>
      <c r="X82" s="76">
        <f>((X63*$Z$63)+(X66*$Z$66)+(X69*$Z$69)+(X72*$Z$72)+(X75*$Z$75)+(X78*$Z$78)+(X81*$Z$81)+(X130*$Z$130))/$Z$82</f>
        <v>0.9460658815497528</v>
      </c>
      <c r="Y82" s="40">
        <f>Y63+Y65+Y69+Y72+Y75+Y78+Y81</f>
        <v>13847</v>
      </c>
      <c r="Z82" s="45">
        <f>Z63+Z66+Z69+Z72+Z75+Z78+Z81</f>
        <v>315</v>
      </c>
      <c r="AD82" s="118"/>
      <c r="AE82" s="118"/>
      <c r="AT82" s="24"/>
    </row>
    <row r="83" spans="1:46" ht="14.25" thickTop="1" x14ac:dyDescent="0.2">
      <c r="L83" s="63"/>
      <c r="Y83" s="40"/>
      <c r="Z83" s="45"/>
      <c r="AT83" s="24"/>
    </row>
    <row r="84" spans="1:46" x14ac:dyDescent="0.2">
      <c r="D84" s="17" t="s">
        <v>82</v>
      </c>
      <c r="K84" s="14"/>
      <c r="L84" s="81" t="s">
        <v>83</v>
      </c>
      <c r="S84" s="17" t="s">
        <v>84</v>
      </c>
      <c r="Y84" s="40"/>
      <c r="AT84" s="24"/>
    </row>
    <row r="85" spans="1:46" ht="14.25" thickBot="1" x14ac:dyDescent="0.25">
      <c r="A85" s="104"/>
      <c r="B85" s="104"/>
      <c r="C85" s="107"/>
      <c r="D85" s="107"/>
      <c r="E85" s="107"/>
      <c r="F85" s="107"/>
      <c r="G85" s="107"/>
      <c r="H85" s="107"/>
      <c r="I85" s="107"/>
      <c r="J85" s="128"/>
      <c r="K85" s="29"/>
      <c r="L85" s="13" t="s">
        <v>25</v>
      </c>
      <c r="Y85" s="181" t="s">
        <v>25</v>
      </c>
      <c r="AT85" s="24"/>
    </row>
    <row r="86" spans="1:46" ht="14.1" customHeight="1" thickTop="1" thickBot="1" x14ac:dyDescent="0.25">
      <c r="A86" s="33" t="s">
        <v>6</v>
      </c>
      <c r="B86" s="33" t="s">
        <v>7</v>
      </c>
      <c r="C86" s="34" t="s">
        <v>8</v>
      </c>
      <c r="D86" s="34" t="s">
        <v>9</v>
      </c>
      <c r="E86" s="34" t="s">
        <v>10</v>
      </c>
      <c r="F86" s="34" t="s">
        <v>11</v>
      </c>
      <c r="G86" s="34" t="s">
        <v>12</v>
      </c>
      <c r="H86" s="34" t="s">
        <v>13</v>
      </c>
      <c r="I86" s="34" t="s">
        <v>14</v>
      </c>
      <c r="J86" s="34" t="s">
        <v>15</v>
      </c>
      <c r="K86" s="17"/>
      <c r="L86" s="13" t="s">
        <v>120</v>
      </c>
      <c r="N86" s="183" t="s">
        <v>6</v>
      </c>
      <c r="O86" s="184" t="s">
        <v>7</v>
      </c>
      <c r="P86" s="185" t="s">
        <v>16</v>
      </c>
      <c r="Q86" s="186" t="s">
        <v>17</v>
      </c>
      <c r="R86" s="185" t="s">
        <v>18</v>
      </c>
      <c r="S86" s="185" t="s">
        <v>19</v>
      </c>
      <c r="T86" s="185" t="s">
        <v>20</v>
      </c>
      <c r="U86" s="185" t="s">
        <v>21</v>
      </c>
      <c r="V86" s="185" t="s">
        <v>22</v>
      </c>
      <c r="W86" s="187" t="s">
        <v>23</v>
      </c>
      <c r="X86" s="188" t="s">
        <v>24</v>
      </c>
      <c r="Y86" s="181" t="s">
        <v>120</v>
      </c>
      <c r="Z86" s="19" t="s">
        <v>26</v>
      </c>
      <c r="AA86" s="3" t="s">
        <v>27</v>
      </c>
      <c r="AT86" s="24"/>
    </row>
    <row r="87" spans="1:46" x14ac:dyDescent="0.2">
      <c r="B87" s="3">
        <v>1</v>
      </c>
      <c r="C87" s="18">
        <v>744</v>
      </c>
      <c r="D87" s="58">
        <v>1.18</v>
      </c>
      <c r="E87" s="58">
        <v>742.82</v>
      </c>
      <c r="F87" s="58">
        <v>0</v>
      </c>
      <c r="G87" s="58">
        <v>0</v>
      </c>
      <c r="H87" s="58">
        <v>0</v>
      </c>
      <c r="I87" s="58">
        <v>0</v>
      </c>
      <c r="J87" s="59">
        <v>0</v>
      </c>
      <c r="K87" s="59"/>
      <c r="L87" s="130">
        <v>0</v>
      </c>
      <c r="M87" s="14">
        <f>D87+E87+F87+G87+H87+K87</f>
        <v>744</v>
      </c>
      <c r="O87" s="3">
        <v>1</v>
      </c>
      <c r="P87" s="3">
        <f>C87/$C$5*100</f>
        <v>100</v>
      </c>
      <c r="Q87" s="5">
        <f>(C87-I87)*100/$C$5</f>
        <v>100</v>
      </c>
      <c r="R87" s="3">
        <f>(Y87*100)/($C$5*Z87)</f>
        <v>0</v>
      </c>
      <c r="S87" s="3">
        <f>IF((AND(D87=0,F87=0)),0,F87/(D87+F87)*100)</f>
        <v>0</v>
      </c>
      <c r="T87" s="3">
        <f>IF((AND(D87=0,F87=0)),0,(F87+I87)/(D87+F87)*100)</f>
        <v>0</v>
      </c>
      <c r="U87" s="3">
        <f t="shared" ref="U87:V89" si="48">G87*100/$C$5</f>
        <v>0</v>
      </c>
      <c r="V87" s="3">
        <f t="shared" si="48"/>
        <v>0</v>
      </c>
      <c r="W87" s="18">
        <f>F87*100/$C$5</f>
        <v>0</v>
      </c>
      <c r="X87" s="3">
        <f>I87*100/$C$5</f>
        <v>0</v>
      </c>
      <c r="Y87" s="40">
        <f t="shared" ref="Y87:Y92" si="49">L87</f>
        <v>0</v>
      </c>
      <c r="Z87" s="49">
        <v>2</v>
      </c>
      <c r="AA87" s="40">
        <f t="shared" ref="AA87:AA89" si="50">Z87*$C$5</f>
        <v>1488</v>
      </c>
      <c r="AT87" s="24"/>
    </row>
    <row r="88" spans="1:46" x14ac:dyDescent="0.2">
      <c r="B88" s="3">
        <v>2</v>
      </c>
      <c r="C88" s="18">
        <v>744</v>
      </c>
      <c r="D88" s="58">
        <v>1.1200000000000001</v>
      </c>
      <c r="E88" s="58">
        <v>742.88</v>
      </c>
      <c r="F88" s="58">
        <v>0</v>
      </c>
      <c r="G88" s="58">
        <v>0</v>
      </c>
      <c r="H88" s="58">
        <v>0</v>
      </c>
      <c r="I88" s="58">
        <v>0</v>
      </c>
      <c r="J88" s="59">
        <v>0</v>
      </c>
      <c r="K88" s="59"/>
      <c r="L88" s="130">
        <v>0</v>
      </c>
      <c r="M88" s="14">
        <f>D88+E88+F88+G88+H88+K88</f>
        <v>744</v>
      </c>
      <c r="O88" s="3">
        <v>2</v>
      </c>
      <c r="P88" s="3">
        <f>C88/$C$5*100</f>
        <v>100</v>
      </c>
      <c r="Q88" s="5">
        <f>(C88-I88)*100/$C$5</f>
        <v>100</v>
      </c>
      <c r="R88" s="3">
        <f>(Y88*100)/($C$5*Z88)</f>
        <v>0</v>
      </c>
      <c r="S88" s="3">
        <f>IF((AND(D88=0,F88=0)),0,F88/(D88+F88)*100)</f>
        <v>0</v>
      </c>
      <c r="T88" s="3">
        <f>IF((AND(D88=0,F88=0)),0,(F88+I88)/(D88+F88)*100)</f>
        <v>0</v>
      </c>
      <c r="U88" s="3">
        <f t="shared" si="48"/>
        <v>0</v>
      </c>
      <c r="V88" s="3">
        <f t="shared" si="48"/>
        <v>0</v>
      </c>
      <c r="W88" s="18">
        <f>F88*100/$C$5</f>
        <v>0</v>
      </c>
      <c r="X88" s="3">
        <f>I88*100/$C$5</f>
        <v>0</v>
      </c>
      <c r="Y88" s="40">
        <f t="shared" si="49"/>
        <v>0</v>
      </c>
      <c r="Z88" s="49">
        <v>2</v>
      </c>
      <c r="AA88" s="40">
        <f t="shared" si="50"/>
        <v>1488</v>
      </c>
    </row>
    <row r="89" spans="1:46" x14ac:dyDescent="0.2">
      <c r="A89" s="30" t="s">
        <v>85</v>
      </c>
      <c r="B89" s="3">
        <v>3</v>
      </c>
      <c r="C89" s="18">
        <v>744</v>
      </c>
      <c r="D89" s="58">
        <v>1.1499999999999999</v>
      </c>
      <c r="E89" s="58">
        <v>742.85</v>
      </c>
      <c r="F89" s="58">
        <v>0</v>
      </c>
      <c r="G89" s="58">
        <v>0</v>
      </c>
      <c r="H89" s="58">
        <v>0</v>
      </c>
      <c r="I89" s="58">
        <v>0</v>
      </c>
      <c r="J89" s="59">
        <v>0</v>
      </c>
      <c r="K89" s="59"/>
      <c r="L89" s="130">
        <v>0</v>
      </c>
      <c r="M89" s="14">
        <f>D89+E89+F89+G89+H89+K89</f>
        <v>744</v>
      </c>
      <c r="N89" s="30" t="s">
        <v>85</v>
      </c>
      <c r="O89" s="3">
        <v>3</v>
      </c>
      <c r="P89" s="3">
        <f>C89/$C$5*100</f>
        <v>100</v>
      </c>
      <c r="Q89" s="5">
        <f>(C89-I89)*100/$C$5</f>
        <v>100</v>
      </c>
      <c r="R89" s="3">
        <f>(Y89*100)/($C$5*Z89)</f>
        <v>0</v>
      </c>
      <c r="S89" s="3">
        <f>IF((AND(D89=0,F89=0)),0,F89/(D89+F89)*100)</f>
        <v>0</v>
      </c>
      <c r="T89" s="3">
        <f>IF((AND(D89=0,F89=0)),0,(F89+I89)/(D89+F89)*100)</f>
        <v>0</v>
      </c>
      <c r="U89" s="3">
        <f t="shared" si="48"/>
        <v>0</v>
      </c>
      <c r="V89" s="3">
        <f t="shared" si="48"/>
        <v>0</v>
      </c>
      <c r="W89" s="18">
        <f>F89*100/$C$5</f>
        <v>0</v>
      </c>
      <c r="X89" s="3">
        <f>I89*100/$C$5</f>
        <v>0</v>
      </c>
      <c r="Y89" s="40">
        <f t="shared" si="49"/>
        <v>0</v>
      </c>
      <c r="Z89" s="49">
        <v>2</v>
      </c>
      <c r="AA89" s="40">
        <f t="shared" si="50"/>
        <v>1488</v>
      </c>
    </row>
    <row r="90" spans="1:46" ht="14.25" customHeight="1" thickBot="1" x14ac:dyDescent="0.25">
      <c r="A90" s="50"/>
      <c r="B90" s="51" t="s">
        <v>86</v>
      </c>
      <c r="C90" s="4">
        <f t="shared" ref="C90:J90" si="51">SUM(C87:C89)</f>
        <v>2232</v>
      </c>
      <c r="D90" s="53">
        <f t="shared" si="51"/>
        <v>3.4499999999999997</v>
      </c>
      <c r="E90" s="53">
        <f t="shared" si="51"/>
        <v>2228.5500000000002</v>
      </c>
      <c r="F90" s="4">
        <f t="shared" si="51"/>
        <v>0</v>
      </c>
      <c r="G90" s="4">
        <f t="shared" si="51"/>
        <v>0</v>
      </c>
      <c r="H90" s="4">
        <f t="shared" si="51"/>
        <v>0</v>
      </c>
      <c r="I90" s="4">
        <f t="shared" si="51"/>
        <v>0</v>
      </c>
      <c r="J90" s="4">
        <f t="shared" si="51"/>
        <v>0</v>
      </c>
      <c r="L90" s="131">
        <f>-SUM(L87:L89)</f>
        <v>0</v>
      </c>
      <c r="M90" s="14">
        <f>(D90+E90+F90+G90+H90+K90)/3</f>
        <v>744</v>
      </c>
      <c r="N90" s="50"/>
      <c r="O90" s="51" t="s">
        <v>86</v>
      </c>
      <c r="P90" s="132">
        <f>(P87*Z87+P88*Z88+P89*Z89)/Z90</f>
        <v>100</v>
      </c>
      <c r="Q90" s="133">
        <f>(Q87*Z87+Q88*Z88+Q89*Z89)/Z90</f>
        <v>100</v>
      </c>
      <c r="R90" s="132">
        <f>(R87*Z87+R88*Z88+R89*Z89)/Z90</f>
        <v>0</v>
      </c>
      <c r="S90" s="132">
        <f>(S87*Z87+S88*Z88+S89*Z89)/Z90</f>
        <v>0</v>
      </c>
      <c r="T90" s="132">
        <f>(T87*Z87+T88*Z88+T89*Z89)/Z90</f>
        <v>0</v>
      </c>
      <c r="U90" s="132">
        <f>(U87*Z87+U88*Z88+U89*Z89)/Z90</f>
        <v>0</v>
      </c>
      <c r="V90" s="132">
        <f>(V87*Z87+V88*Z88+V89*Z89)/Z90</f>
        <v>0</v>
      </c>
      <c r="W90" s="134">
        <f>(W87*Z87+W88*Z88+W89*Z89)/Z90</f>
        <v>0</v>
      </c>
      <c r="X90" s="132">
        <f>(X87*Z87+X88*Z88+X89*Z89)/Z90</f>
        <v>0</v>
      </c>
      <c r="Y90" s="40">
        <f t="shared" si="49"/>
        <v>0</v>
      </c>
      <c r="Z90" s="135">
        <f>SUM(Z87:Z89)</f>
        <v>6</v>
      </c>
    </row>
    <row r="91" spans="1:46" x14ac:dyDescent="0.2">
      <c r="A91" s="30"/>
      <c r="B91" s="3">
        <v>1</v>
      </c>
      <c r="C91" s="18">
        <v>744</v>
      </c>
      <c r="D91" s="58">
        <v>0</v>
      </c>
      <c r="E91" s="58">
        <v>744</v>
      </c>
      <c r="F91" s="58">
        <v>0</v>
      </c>
      <c r="G91" s="58">
        <v>0</v>
      </c>
      <c r="H91" s="58">
        <v>0</v>
      </c>
      <c r="I91" s="58">
        <v>0</v>
      </c>
      <c r="J91" s="59">
        <v>0</v>
      </c>
      <c r="K91" s="59"/>
      <c r="L91" s="130">
        <v>0</v>
      </c>
      <c r="M91" s="14">
        <f>D91+E91+F91+G91+H91+K91</f>
        <v>744</v>
      </c>
      <c r="N91" s="30"/>
      <c r="O91" s="3">
        <v>1</v>
      </c>
      <c r="P91" s="3">
        <f>C91/$C$5*100</f>
        <v>100</v>
      </c>
      <c r="Q91" s="5">
        <f>(C91-I91)*100/$C$5</f>
        <v>100</v>
      </c>
      <c r="R91" s="3">
        <f>(Y91*100)/($C$5*Z91)</f>
        <v>0</v>
      </c>
      <c r="S91" s="3">
        <f>IF((AND(D91=0,F91=0)),0,F91/(D91+F91)*100)</f>
        <v>0</v>
      </c>
      <c r="T91" s="3">
        <f>IF((AND(D91=0,F91=0)),0,(F91+I91)/(D91+F91)*100)</f>
        <v>0</v>
      </c>
      <c r="U91" s="3">
        <f>G91*100/$C$5</f>
        <v>0</v>
      </c>
      <c r="V91" s="3">
        <f>H91*100/$C$5</f>
        <v>0</v>
      </c>
      <c r="W91" s="18">
        <f>F91*100/$C$5</f>
        <v>0</v>
      </c>
      <c r="X91" s="3">
        <f>I91*100/$C$5</f>
        <v>0</v>
      </c>
      <c r="Y91" s="40">
        <f t="shared" si="49"/>
        <v>0</v>
      </c>
      <c r="Z91" s="19">
        <v>3</v>
      </c>
      <c r="AA91" s="136">
        <f>Z91*$C$5</f>
        <v>2232</v>
      </c>
    </row>
    <row r="92" spans="1:46" x14ac:dyDescent="0.2">
      <c r="A92" s="30" t="s">
        <v>87</v>
      </c>
      <c r="B92" s="66">
        <v>2</v>
      </c>
      <c r="C92" s="67">
        <v>744</v>
      </c>
      <c r="D92" s="67">
        <v>0</v>
      </c>
      <c r="E92" s="67">
        <v>744</v>
      </c>
      <c r="F92" s="67">
        <v>0</v>
      </c>
      <c r="G92" s="67">
        <v>0</v>
      </c>
      <c r="H92" s="67">
        <v>0</v>
      </c>
      <c r="I92" s="67">
        <v>0</v>
      </c>
      <c r="J92" s="66">
        <v>0</v>
      </c>
      <c r="L92" s="131">
        <v>0</v>
      </c>
      <c r="M92" s="14">
        <f>D92+E92+F92+G92+H92+K92</f>
        <v>744</v>
      </c>
      <c r="N92" s="30" t="s">
        <v>87</v>
      </c>
      <c r="O92" s="66">
        <v>2</v>
      </c>
      <c r="P92" s="66">
        <f>C92/$C$5*100</f>
        <v>100</v>
      </c>
      <c r="Q92" s="137">
        <f>(C92-I92)*100/$C$5</f>
        <v>100</v>
      </c>
      <c r="R92" s="66">
        <f>(Y92*100)/($C$5*Z92)</f>
        <v>0</v>
      </c>
      <c r="S92" s="66">
        <f>IF((AND(D92=0,F92=0)),0,F92/(D92+F92)*100)</f>
        <v>0</v>
      </c>
      <c r="T92" s="66">
        <f>IF((AND(D92=0,F92=0)),0,(F92+I92)/(D92+F92)*100)</f>
        <v>0</v>
      </c>
      <c r="U92" s="66">
        <f>G92*100/$C$5</f>
        <v>0</v>
      </c>
      <c r="V92" s="66">
        <f>H92*100/$C$5</f>
        <v>0</v>
      </c>
      <c r="W92" s="67">
        <f>F92*100/$C$5</f>
        <v>0</v>
      </c>
      <c r="X92" s="66">
        <f>I92*100/$C$5</f>
        <v>0</v>
      </c>
      <c r="Y92" s="40">
        <f t="shared" si="49"/>
        <v>0</v>
      </c>
      <c r="Z92" s="19">
        <v>3</v>
      </c>
      <c r="AA92" s="138">
        <f>Z92*$C$5</f>
        <v>2232</v>
      </c>
    </row>
    <row r="93" spans="1:46" ht="14.25" thickBot="1" x14ac:dyDescent="0.25">
      <c r="A93" s="50"/>
      <c r="B93" s="139" t="s">
        <v>38</v>
      </c>
      <c r="C93" s="139">
        <f t="shared" ref="C93:J93" si="52">SUM(C91:C92)</f>
        <v>1488</v>
      </c>
      <c r="D93" s="139">
        <f t="shared" si="52"/>
        <v>0</v>
      </c>
      <c r="E93" s="139">
        <f t="shared" si="52"/>
        <v>1488</v>
      </c>
      <c r="F93" s="139">
        <f t="shared" si="52"/>
        <v>0</v>
      </c>
      <c r="G93" s="139">
        <f t="shared" si="52"/>
        <v>0</v>
      </c>
      <c r="H93" s="139">
        <f t="shared" si="52"/>
        <v>0</v>
      </c>
      <c r="I93" s="139">
        <f t="shared" si="52"/>
        <v>0</v>
      </c>
      <c r="J93" s="139">
        <f t="shared" si="52"/>
        <v>0</v>
      </c>
      <c r="L93" s="131">
        <f>SUM(L91:L92)</f>
        <v>0</v>
      </c>
      <c r="M93" s="138">
        <f>(D93+E93+F93+G93+H93)/2</f>
        <v>744</v>
      </c>
      <c r="N93" s="50"/>
      <c r="O93" s="139" t="s">
        <v>38</v>
      </c>
      <c r="P93" s="129">
        <f>(P91*Z91+P92*Z92)/Z93</f>
        <v>85.714285714285708</v>
      </c>
      <c r="Q93" s="140">
        <f>(Q91*Z91+Q92*Z92)/Z93</f>
        <v>85.714285714285708</v>
      </c>
      <c r="R93" s="129">
        <f>(R91*Z91+R92*Z92)/Z93</f>
        <v>0</v>
      </c>
      <c r="S93" s="129">
        <f>(S91*Z91+S92*Z92)/Z93</f>
        <v>0</v>
      </c>
      <c r="T93" s="129">
        <f>(T91*Z91+T92*Z92)/Z93</f>
        <v>0</v>
      </c>
      <c r="U93" s="129">
        <f>(U91*Z91+U92*Z92)/Z93</f>
        <v>0</v>
      </c>
      <c r="V93" s="129">
        <f>(V91*Z91+V92*Z92)/Z93</f>
        <v>0</v>
      </c>
      <c r="W93" s="141">
        <f>(W91*Z91+W92*Z92)/Z93</f>
        <v>0</v>
      </c>
      <c r="X93" s="129">
        <f>(X91*Z91+X92*Z92)/Z93</f>
        <v>0</v>
      </c>
      <c r="Y93" s="138">
        <f>SUM(Y91:Y92)</f>
        <v>0</v>
      </c>
      <c r="Z93" s="23">
        <v>7</v>
      </c>
    </row>
    <row r="94" spans="1:46" x14ac:dyDescent="0.2">
      <c r="L94" s="63"/>
      <c r="P94" s="14"/>
      <c r="Q94" s="22"/>
      <c r="R94" s="14"/>
      <c r="S94" s="14"/>
      <c r="T94" s="14"/>
      <c r="U94" s="14"/>
      <c r="V94" s="14"/>
      <c r="W94" s="23"/>
      <c r="X94" s="14"/>
    </row>
    <row r="95" spans="1:46" x14ac:dyDescent="0.2">
      <c r="L95" s="81"/>
      <c r="P95" s="14"/>
      <c r="Q95" s="22"/>
      <c r="R95" s="14"/>
      <c r="S95" s="14"/>
      <c r="T95" s="14"/>
      <c r="U95" s="14"/>
      <c r="V95" s="14"/>
      <c r="W95" s="23"/>
      <c r="X95" s="14"/>
    </row>
    <row r="96" spans="1:46" x14ac:dyDescent="0.2">
      <c r="L96" s="81"/>
      <c r="P96" s="14"/>
      <c r="Q96" s="22"/>
      <c r="R96" s="14"/>
      <c r="S96" s="14"/>
      <c r="T96" s="14"/>
      <c r="U96" s="14"/>
      <c r="V96" s="14"/>
      <c r="W96" s="23"/>
      <c r="X96" s="14"/>
    </row>
    <row r="97" spans="1:31" x14ac:dyDescent="0.2">
      <c r="A97" s="28" t="s">
        <v>88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81"/>
      <c r="P97" s="14"/>
      <c r="Q97" s="22"/>
      <c r="R97" s="14"/>
      <c r="S97" s="14"/>
      <c r="T97" s="14"/>
      <c r="U97" s="14"/>
      <c r="V97" s="14"/>
      <c r="W97" s="23"/>
      <c r="X97" s="14"/>
    </row>
    <row r="98" spans="1:31" x14ac:dyDescent="0.2">
      <c r="A98" s="28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81"/>
      <c r="N98" s="28" t="s">
        <v>88</v>
      </c>
      <c r="O98" s="27"/>
      <c r="P98" s="27"/>
      <c r="Q98" s="82"/>
      <c r="R98" s="27"/>
      <c r="S98" s="27"/>
      <c r="T98" s="27"/>
      <c r="U98" s="27"/>
      <c r="V98" s="27"/>
      <c r="W98" s="77"/>
      <c r="X98" s="27"/>
    </row>
    <row r="99" spans="1:31" x14ac:dyDescent="0.2">
      <c r="A99" s="28" t="s">
        <v>1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81"/>
      <c r="N99" s="28"/>
      <c r="O99" s="27"/>
      <c r="P99" s="27"/>
      <c r="Q99" s="82"/>
      <c r="R99" s="27"/>
      <c r="S99" s="27"/>
      <c r="T99" s="27"/>
      <c r="U99" s="27"/>
      <c r="V99" s="27"/>
      <c r="W99" s="77"/>
      <c r="X99" s="27"/>
    </row>
    <row r="100" spans="1:31" x14ac:dyDescent="0.2">
      <c r="A100" s="28" t="s">
        <v>3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81"/>
      <c r="N100" s="28" t="s">
        <v>89</v>
      </c>
      <c r="O100" s="27"/>
      <c r="P100" s="27"/>
      <c r="Q100" s="82"/>
      <c r="R100" s="27"/>
      <c r="S100" s="27"/>
      <c r="T100" s="27"/>
      <c r="U100" s="27"/>
      <c r="V100" s="27"/>
      <c r="W100" s="77"/>
      <c r="X100" s="27"/>
    </row>
    <row r="101" spans="1:31" x14ac:dyDescent="0.2">
      <c r="L101" s="81"/>
      <c r="P101" s="14"/>
      <c r="Q101" s="22"/>
      <c r="R101" s="14"/>
      <c r="S101" s="14"/>
      <c r="T101" s="14"/>
      <c r="U101" s="14"/>
      <c r="V101" s="14"/>
      <c r="W101" s="23"/>
      <c r="X101" s="14"/>
      <c r="Y101" s="23"/>
    </row>
    <row r="102" spans="1:31" ht="14.25" thickBot="1" x14ac:dyDescent="0.25">
      <c r="J102" s="37"/>
      <c r="K102" s="37"/>
      <c r="L102" s="13" t="s">
        <v>25</v>
      </c>
      <c r="N102" s="26" t="str">
        <f>$N$58</f>
        <v>HORAS EN EL MES:</v>
      </c>
      <c r="P102" s="17">
        <f>$C$5</f>
        <v>744</v>
      </c>
      <c r="Y102" s="181" t="s">
        <v>25</v>
      </c>
    </row>
    <row r="103" spans="1:31" ht="15" thickTop="1" thickBot="1" x14ac:dyDescent="0.25">
      <c r="A103" s="33" t="s">
        <v>6</v>
      </c>
      <c r="B103" s="33" t="s">
        <v>7</v>
      </c>
      <c r="C103" s="34" t="s">
        <v>8</v>
      </c>
      <c r="D103" s="34" t="s">
        <v>9</v>
      </c>
      <c r="E103" s="34" t="s">
        <v>10</v>
      </c>
      <c r="F103" s="34" t="s">
        <v>11</v>
      </c>
      <c r="G103" s="34" t="s">
        <v>12</v>
      </c>
      <c r="H103" s="34" t="s">
        <v>13</v>
      </c>
      <c r="I103" s="34" t="s">
        <v>14</v>
      </c>
      <c r="J103" s="34" t="s">
        <v>15</v>
      </c>
      <c r="K103" s="17"/>
      <c r="L103" s="13" t="s">
        <v>120</v>
      </c>
      <c r="N103" s="33" t="s">
        <v>6</v>
      </c>
      <c r="O103" s="142" t="s">
        <v>7</v>
      </c>
      <c r="P103" s="34" t="s">
        <v>16</v>
      </c>
      <c r="Q103" s="35" t="s">
        <v>17</v>
      </c>
      <c r="R103" s="34" t="s">
        <v>18</v>
      </c>
      <c r="S103" s="34" t="s">
        <v>19</v>
      </c>
      <c r="T103" s="34" t="s">
        <v>20</v>
      </c>
      <c r="U103" s="34" t="s">
        <v>21</v>
      </c>
      <c r="V103" s="34" t="s">
        <v>22</v>
      </c>
      <c r="W103" s="36" t="s">
        <v>23</v>
      </c>
      <c r="X103" s="34" t="s">
        <v>24</v>
      </c>
      <c r="Y103" s="181" t="s">
        <v>120</v>
      </c>
      <c r="Z103" s="7" t="s">
        <v>26</v>
      </c>
      <c r="AA103" s="3" t="s">
        <v>27</v>
      </c>
      <c r="AD103" s="17"/>
      <c r="AE103" s="17"/>
    </row>
    <row r="104" spans="1:31" x14ac:dyDescent="0.2">
      <c r="B104" s="38">
        <v>1</v>
      </c>
      <c r="C104" s="18">
        <f>D104+E104</f>
        <v>0</v>
      </c>
      <c r="D104" s="18">
        <v>0</v>
      </c>
      <c r="E104" s="18">
        <v>0</v>
      </c>
      <c r="F104" s="18">
        <v>744</v>
      </c>
      <c r="G104" s="18">
        <v>0</v>
      </c>
      <c r="H104" s="18">
        <v>0</v>
      </c>
      <c r="I104" s="18">
        <v>0</v>
      </c>
      <c r="J104" s="3">
        <v>0</v>
      </c>
      <c r="K104" s="5"/>
      <c r="L104" s="131">
        <v>0</v>
      </c>
      <c r="M104" s="14">
        <f>D104+E104+F104+G104+H104+K104</f>
        <v>744</v>
      </c>
      <c r="O104" s="38">
        <v>1</v>
      </c>
      <c r="P104" s="3">
        <f>C104/$C$5*100</f>
        <v>0</v>
      </c>
      <c r="Q104" s="18">
        <f>(C104-I104)*100/$C$5</f>
        <v>0</v>
      </c>
      <c r="R104" s="18">
        <v>0</v>
      </c>
      <c r="S104" s="3">
        <f>IF((AND(D104=0,F104=0)),0,F104/(D104+F104)*100)</f>
        <v>100</v>
      </c>
      <c r="T104" s="3">
        <f>AE104</f>
        <v>0</v>
      </c>
      <c r="U104" s="18">
        <f t="shared" ref="U104:V106" si="53">G104*100/$C$5</f>
        <v>0</v>
      </c>
      <c r="V104" s="18">
        <f t="shared" si="53"/>
        <v>0</v>
      </c>
      <c r="W104" s="18">
        <f>F104*100/$C$5</f>
        <v>100</v>
      </c>
      <c r="X104" s="18">
        <f>I104*100/$C$5</f>
        <v>0</v>
      </c>
      <c r="Y104" s="14">
        <f>L104</f>
        <v>0</v>
      </c>
      <c r="AA104" s="14">
        <f>Z104*$C$5</f>
        <v>0</v>
      </c>
      <c r="AD104" s="18"/>
      <c r="AE104" s="18"/>
    </row>
    <row r="105" spans="1:31" x14ac:dyDescent="0.2">
      <c r="A105" s="17" t="s">
        <v>90</v>
      </c>
      <c r="B105" s="38">
        <v>2</v>
      </c>
      <c r="C105" s="18">
        <v>744</v>
      </c>
      <c r="D105" s="18">
        <v>367.98</v>
      </c>
      <c r="E105" s="18">
        <v>376</v>
      </c>
      <c r="F105" s="18">
        <v>0</v>
      </c>
      <c r="G105" s="18">
        <v>0</v>
      </c>
      <c r="H105" s="18">
        <v>0</v>
      </c>
      <c r="I105" s="18">
        <v>0</v>
      </c>
      <c r="J105" s="3">
        <v>0</v>
      </c>
      <c r="K105" s="5"/>
      <c r="L105" s="131">
        <v>20748</v>
      </c>
      <c r="M105" s="14">
        <f>D105+E105+F105+G105+H105+K105</f>
        <v>743.98</v>
      </c>
      <c r="N105" s="17" t="s">
        <v>91</v>
      </c>
      <c r="O105" s="38">
        <v>2</v>
      </c>
      <c r="P105" s="3">
        <f>C105/$C$5*100</f>
        <v>100</v>
      </c>
      <c r="Q105" s="18">
        <f>(C105-I105)*100/$C$5</f>
        <v>100</v>
      </c>
      <c r="R105" s="18">
        <f>(Y105*100)/($C$5*Z105)</f>
        <v>33.80254154447703</v>
      </c>
      <c r="S105" s="3">
        <f>IF((AND(D105=0,F105=0)),0,F105/(D105+F105)*100)</f>
        <v>0</v>
      </c>
      <c r="T105" s="3">
        <f>AE105</f>
        <v>0</v>
      </c>
      <c r="U105" s="18">
        <f t="shared" si="53"/>
        <v>0</v>
      </c>
      <c r="V105" s="18">
        <f t="shared" si="53"/>
        <v>0</v>
      </c>
      <c r="W105" s="18">
        <f>F105*100/$C$5</f>
        <v>0</v>
      </c>
      <c r="X105" s="18">
        <f>I105*100/$C$5</f>
        <v>0</v>
      </c>
      <c r="Y105" s="14">
        <f>L105</f>
        <v>20748</v>
      </c>
      <c r="Z105" s="19">
        <v>82.5</v>
      </c>
      <c r="AA105" s="14">
        <f>Z105*$C$5</f>
        <v>61380</v>
      </c>
      <c r="AD105" s="18"/>
      <c r="AE105" s="18"/>
    </row>
    <row r="106" spans="1:31" x14ac:dyDescent="0.2">
      <c r="B106" s="143">
        <v>3</v>
      </c>
      <c r="C106" s="67">
        <v>735.1</v>
      </c>
      <c r="D106" s="67">
        <v>295.35000000000002</v>
      </c>
      <c r="E106" s="67">
        <v>439.7</v>
      </c>
      <c r="F106" s="67">
        <v>8.9</v>
      </c>
      <c r="G106" s="67">
        <v>0</v>
      </c>
      <c r="H106" s="67">
        <v>0</v>
      </c>
      <c r="I106" s="67">
        <v>0</v>
      </c>
      <c r="J106" s="66">
        <v>0</v>
      </c>
      <c r="K106" s="5"/>
      <c r="L106" s="131">
        <v>15987</v>
      </c>
      <c r="M106" s="14">
        <f>D106+E106+F106+G106+H106+K106</f>
        <v>743.94999999999993</v>
      </c>
      <c r="O106" s="143">
        <v>3</v>
      </c>
      <c r="P106" s="3">
        <f>C106/$C$5*100</f>
        <v>98.803763440860209</v>
      </c>
      <c r="Q106" s="18">
        <f>(C106-I106)*100/$C$5</f>
        <v>98.803763440860209</v>
      </c>
      <c r="R106" s="18">
        <f>(Y106*100)/($C$5*Z106)</f>
        <v>26.045943304007821</v>
      </c>
      <c r="S106" s="3">
        <f>IF((AND(D106=0,F106=0)),0,F106/(D106+F106)*100)</f>
        <v>2.9252259654889072</v>
      </c>
      <c r="T106" s="3">
        <f>AE106</f>
        <v>0</v>
      </c>
      <c r="U106" s="18">
        <f t="shared" si="53"/>
        <v>0</v>
      </c>
      <c r="V106" s="18">
        <f t="shared" si="53"/>
        <v>0</v>
      </c>
      <c r="W106" s="18">
        <f>F106*100/$C$5</f>
        <v>1.196236559139785</v>
      </c>
      <c r="X106" s="18">
        <f>I106*100/$C$5</f>
        <v>0</v>
      </c>
      <c r="Y106" s="14">
        <f>L106</f>
        <v>15987</v>
      </c>
      <c r="Z106" s="19">
        <v>82.5</v>
      </c>
      <c r="AA106" s="14">
        <f>Z106*$C$5</f>
        <v>61380</v>
      </c>
      <c r="AD106" s="18"/>
      <c r="AE106" s="18"/>
    </row>
    <row r="107" spans="1:31" ht="14.25" thickBot="1" x14ac:dyDescent="0.25">
      <c r="A107" s="50"/>
      <c r="B107" s="144" t="s">
        <v>92</v>
      </c>
      <c r="C107" s="61">
        <f>SUM(C104:C106)</f>
        <v>1479.1</v>
      </c>
      <c r="D107" s="61">
        <f t="shared" ref="D107:J107" si="54">SUM(D104:D106)</f>
        <v>663.33</v>
      </c>
      <c r="E107" s="61">
        <f t="shared" si="54"/>
        <v>815.7</v>
      </c>
      <c r="F107" s="61">
        <f t="shared" si="54"/>
        <v>752.9</v>
      </c>
      <c r="G107" s="139">
        <f t="shared" si="54"/>
        <v>0</v>
      </c>
      <c r="H107" s="139">
        <f t="shared" si="54"/>
        <v>0</v>
      </c>
      <c r="I107" s="139">
        <f t="shared" si="54"/>
        <v>0</v>
      </c>
      <c r="J107" s="139">
        <f t="shared" si="54"/>
        <v>0</v>
      </c>
      <c r="K107" s="5"/>
      <c r="L107" s="63">
        <f>SUM(L104:L106)</f>
        <v>36735</v>
      </c>
      <c r="M107" s="14">
        <f>SUM(M104:M106)/3</f>
        <v>743.97666666666657</v>
      </c>
      <c r="N107" s="104"/>
      <c r="O107" s="146" t="s">
        <v>92</v>
      </c>
      <c r="P107" s="147">
        <f>SUM(P105:P106)/2</f>
        <v>99.401881720430111</v>
      </c>
      <c r="Q107" s="148">
        <f>SUM(Q105:Q106)/2</f>
        <v>99.401881720430111</v>
      </c>
      <c r="R107" s="148">
        <f>SUM(R105:R106)/2</f>
        <v>29.924242424242426</v>
      </c>
      <c r="S107" s="148">
        <f>SUM(S105:S106)/2</f>
        <v>1.4626129827444536</v>
      </c>
      <c r="T107" s="148">
        <f>SUM(T105:T106)/2</f>
        <v>0</v>
      </c>
      <c r="U107" s="148">
        <f t="shared" ref="U107:X107" si="55">SUM(U105:U106)/2</f>
        <v>0</v>
      </c>
      <c r="V107" s="148">
        <f t="shared" si="55"/>
        <v>0</v>
      </c>
      <c r="W107" s="148">
        <f t="shared" si="55"/>
        <v>0.5981182795698925</v>
      </c>
      <c r="X107" s="148">
        <f t="shared" si="55"/>
        <v>0</v>
      </c>
      <c r="Y107" s="14">
        <f>L107</f>
        <v>36735</v>
      </c>
      <c r="Z107" s="19">
        <f>SUM(Z104:Z106)</f>
        <v>165</v>
      </c>
      <c r="AD107" s="18"/>
      <c r="AE107" s="18"/>
    </row>
    <row r="108" spans="1:31" x14ac:dyDescent="0.2"/>
    <row r="109" spans="1:31" ht="14.25" thickBot="1" x14ac:dyDescent="0.25">
      <c r="J109" s="37"/>
      <c r="K109" s="37"/>
      <c r="P109" s="17">
        <f>$C$5</f>
        <v>744</v>
      </c>
      <c r="Y109" s="181" t="s">
        <v>25</v>
      </c>
    </row>
    <row r="110" spans="1:31" ht="16.5" customHeight="1" thickTop="1" thickBot="1" x14ac:dyDescent="0.25">
      <c r="A110" s="33" t="s">
        <v>6</v>
      </c>
      <c r="B110" s="33" t="s">
        <v>7</v>
      </c>
      <c r="C110" s="34" t="s">
        <v>8</v>
      </c>
      <c r="D110" s="34" t="s">
        <v>9</v>
      </c>
      <c r="E110" s="34" t="s">
        <v>10</v>
      </c>
      <c r="F110" s="34" t="s">
        <v>11</v>
      </c>
      <c r="G110" s="34" t="s">
        <v>12</v>
      </c>
      <c r="H110" s="34" t="s">
        <v>13</v>
      </c>
      <c r="I110" s="34" t="s">
        <v>14</v>
      </c>
      <c r="J110" s="34" t="s">
        <v>15</v>
      </c>
      <c r="K110" s="17"/>
      <c r="N110" s="33" t="s">
        <v>6</v>
      </c>
      <c r="O110" s="33" t="s">
        <v>7</v>
      </c>
      <c r="P110" s="34" t="s">
        <v>16</v>
      </c>
      <c r="Q110" s="35" t="s">
        <v>17</v>
      </c>
      <c r="R110" s="34" t="s">
        <v>18</v>
      </c>
      <c r="S110" s="34" t="s">
        <v>19</v>
      </c>
      <c r="T110" s="34" t="s">
        <v>20</v>
      </c>
      <c r="U110" s="34" t="s">
        <v>21</v>
      </c>
      <c r="V110" s="34" t="s">
        <v>22</v>
      </c>
      <c r="W110" s="36" t="s">
        <v>23</v>
      </c>
      <c r="X110" s="34" t="s">
        <v>24</v>
      </c>
      <c r="Y110" s="181" t="s">
        <v>120</v>
      </c>
      <c r="Z110" s="19" t="s">
        <v>26</v>
      </c>
      <c r="AA110" s="14" t="s">
        <v>27</v>
      </c>
    </row>
    <row r="111" spans="1:31" x14ac:dyDescent="0.2">
      <c r="B111" s="38" t="s">
        <v>93</v>
      </c>
      <c r="C111" s="3">
        <v>744</v>
      </c>
      <c r="D111" s="18">
        <f>595.3/2</f>
        <v>297.64999999999998</v>
      </c>
      <c r="E111" s="18">
        <f>892.7/2</f>
        <v>446.35</v>
      </c>
      <c r="F111" s="18">
        <v>0</v>
      </c>
      <c r="G111" s="18">
        <v>0</v>
      </c>
      <c r="H111" s="18">
        <v>0</v>
      </c>
      <c r="I111" s="18">
        <v>0</v>
      </c>
      <c r="J111" s="3">
        <v>0</v>
      </c>
      <c r="L111" s="103">
        <v>6492.3</v>
      </c>
      <c r="M111" s="14">
        <f t="shared" ref="M111:M118" si="56">D111+E111+F111+G111+H111+K111</f>
        <v>744</v>
      </c>
      <c r="O111" s="38" t="s">
        <v>93</v>
      </c>
      <c r="P111" s="3">
        <f t="shared" ref="P111:P118" si="57">C111/$C$5*100</f>
        <v>100</v>
      </c>
      <c r="Q111" s="5">
        <f t="shared" ref="Q111:Q118" si="58">(C111-I111)*100/$C$5</f>
        <v>100</v>
      </c>
      <c r="R111" s="18">
        <f>(Y111*100)/($C$5*Z111)</f>
        <v>31.731671554252198</v>
      </c>
      <c r="S111" s="3">
        <f t="shared" ref="S111:S118" si="59">IF((AND(D111=0,F111=0)),0,F111/(D111+F111)*100)</f>
        <v>0</v>
      </c>
      <c r="T111" s="3">
        <f>AE111</f>
        <v>0</v>
      </c>
      <c r="U111" s="18">
        <f t="shared" ref="U111:V118" si="60">G111*100/$C$5</f>
        <v>0</v>
      </c>
      <c r="V111" s="18">
        <f t="shared" si="60"/>
        <v>0</v>
      </c>
      <c r="W111" s="18">
        <f t="shared" ref="W111:W118" si="61">F111*100/$C$5</f>
        <v>0</v>
      </c>
      <c r="X111" s="18">
        <f t="shared" ref="X111:X118" si="62">I111*100/$C$5</f>
        <v>0</v>
      </c>
      <c r="Y111" s="14">
        <f t="shared" ref="Y111:Y118" si="63">L111</f>
        <v>6492.3</v>
      </c>
      <c r="Z111" s="19">
        <v>27.5</v>
      </c>
      <c r="AA111" s="14">
        <f>Z111*$C$5</f>
        <v>20460</v>
      </c>
    </row>
    <row r="112" spans="1:31" x14ac:dyDescent="0.2">
      <c r="A112" s="17"/>
      <c r="B112" s="38" t="s">
        <v>94</v>
      </c>
      <c r="C112" s="3">
        <f t="shared" ref="C112:C117" si="64">$C$5-(F112+G112+H112)</f>
        <v>744</v>
      </c>
      <c r="D112" s="18">
        <f>595.3/2</f>
        <v>297.64999999999998</v>
      </c>
      <c r="E112" s="18">
        <f>892.7/2</f>
        <v>446.35</v>
      </c>
      <c r="F112" s="18">
        <v>0</v>
      </c>
      <c r="G112" s="18">
        <v>0</v>
      </c>
      <c r="H112" s="18">
        <v>0</v>
      </c>
      <c r="I112" s="18">
        <v>0</v>
      </c>
      <c r="J112" s="3">
        <v>0</v>
      </c>
      <c r="L112" s="103">
        <v>6492.3</v>
      </c>
      <c r="M112" s="14">
        <f t="shared" si="56"/>
        <v>744</v>
      </c>
      <c r="N112" s="17"/>
      <c r="O112" s="38" t="s">
        <v>94</v>
      </c>
      <c r="P112" s="3">
        <f t="shared" si="57"/>
        <v>100</v>
      </c>
      <c r="Q112" s="5">
        <f t="shared" si="58"/>
        <v>100</v>
      </c>
      <c r="R112" s="18">
        <f t="shared" ref="R112:R118" si="65">(Y112*100)/($C$5*Z112)</f>
        <v>31.731671554252198</v>
      </c>
      <c r="S112" s="3">
        <f t="shared" si="59"/>
        <v>0</v>
      </c>
      <c r="T112" s="3">
        <f t="shared" ref="T112:T118" si="66">AE112</f>
        <v>0</v>
      </c>
      <c r="U112" s="18">
        <f t="shared" si="60"/>
        <v>0</v>
      </c>
      <c r="V112" s="18">
        <f t="shared" si="60"/>
        <v>0</v>
      </c>
      <c r="W112" s="18">
        <f t="shared" si="61"/>
        <v>0</v>
      </c>
      <c r="X112" s="18">
        <f t="shared" si="62"/>
        <v>0</v>
      </c>
      <c r="Y112" s="14">
        <f t="shared" si="63"/>
        <v>6492.3</v>
      </c>
      <c r="Z112" s="19">
        <v>27.5</v>
      </c>
      <c r="AA112" s="14">
        <f t="shared" ref="AA112:AA118" si="67">Z112*$C$5</f>
        <v>20460</v>
      </c>
    </row>
    <row r="113" spans="1:27" x14ac:dyDescent="0.2">
      <c r="B113" s="38" t="s">
        <v>95</v>
      </c>
      <c r="C113" s="3">
        <f t="shared" si="64"/>
        <v>744</v>
      </c>
      <c r="D113" s="18">
        <f>677.6/2</f>
        <v>338.8</v>
      </c>
      <c r="E113" s="18">
        <f>810.4/2</f>
        <v>405.2</v>
      </c>
      <c r="F113" s="18">
        <v>0</v>
      </c>
      <c r="G113" s="18">
        <v>0</v>
      </c>
      <c r="H113" s="18">
        <v>0</v>
      </c>
      <c r="I113" s="18">
        <v>0</v>
      </c>
      <c r="J113" s="3">
        <v>0</v>
      </c>
      <c r="L113" s="103">
        <v>7443.35</v>
      </c>
      <c r="M113" s="14">
        <f t="shared" si="56"/>
        <v>744</v>
      </c>
      <c r="O113" s="38" t="s">
        <v>95</v>
      </c>
      <c r="P113" s="3">
        <f t="shared" si="57"/>
        <v>100</v>
      </c>
      <c r="Q113" s="5">
        <f t="shared" si="58"/>
        <v>100</v>
      </c>
      <c r="R113" s="18">
        <f t="shared" si="65"/>
        <v>36.380009775171068</v>
      </c>
      <c r="S113" s="3">
        <f t="shared" si="59"/>
        <v>0</v>
      </c>
      <c r="T113" s="3">
        <f t="shared" si="66"/>
        <v>0</v>
      </c>
      <c r="U113" s="18">
        <f t="shared" si="60"/>
        <v>0</v>
      </c>
      <c r="V113" s="18">
        <f t="shared" si="60"/>
        <v>0</v>
      </c>
      <c r="W113" s="18">
        <f t="shared" si="61"/>
        <v>0</v>
      </c>
      <c r="X113" s="18">
        <f t="shared" si="62"/>
        <v>0</v>
      </c>
      <c r="Y113" s="14">
        <f t="shared" si="63"/>
        <v>7443.35</v>
      </c>
      <c r="Z113" s="19">
        <v>27.5</v>
      </c>
      <c r="AA113" s="14">
        <f t="shared" si="67"/>
        <v>20460</v>
      </c>
    </row>
    <row r="114" spans="1:27" ht="15.75" customHeight="1" x14ac:dyDescent="0.2">
      <c r="A114" s="30" t="s">
        <v>96</v>
      </c>
      <c r="B114" s="38" t="s">
        <v>97</v>
      </c>
      <c r="C114" s="3">
        <f t="shared" si="64"/>
        <v>744</v>
      </c>
      <c r="D114" s="18">
        <f>677.6/2</f>
        <v>338.8</v>
      </c>
      <c r="E114" s="18">
        <f>810.4/2</f>
        <v>405.2</v>
      </c>
      <c r="F114" s="18">
        <v>0</v>
      </c>
      <c r="G114" s="18">
        <v>0</v>
      </c>
      <c r="H114" s="18">
        <v>0</v>
      </c>
      <c r="I114" s="18">
        <v>0</v>
      </c>
      <c r="J114" s="3">
        <v>0</v>
      </c>
      <c r="L114" s="103">
        <v>7443.35</v>
      </c>
      <c r="M114" s="14">
        <f t="shared" si="56"/>
        <v>744</v>
      </c>
      <c r="N114" s="30" t="s">
        <v>96</v>
      </c>
      <c r="O114" s="38" t="s">
        <v>97</v>
      </c>
      <c r="P114" s="3">
        <f t="shared" si="57"/>
        <v>100</v>
      </c>
      <c r="Q114" s="5">
        <f t="shared" si="58"/>
        <v>100</v>
      </c>
      <c r="R114" s="18">
        <f t="shared" si="65"/>
        <v>36.380009775171068</v>
      </c>
      <c r="S114" s="3">
        <f t="shared" si="59"/>
        <v>0</v>
      </c>
      <c r="T114" s="3">
        <f t="shared" si="66"/>
        <v>0</v>
      </c>
      <c r="U114" s="18">
        <f t="shared" si="60"/>
        <v>0</v>
      </c>
      <c r="V114" s="18">
        <f t="shared" si="60"/>
        <v>0</v>
      </c>
      <c r="W114" s="18">
        <f t="shared" si="61"/>
        <v>0</v>
      </c>
      <c r="X114" s="18">
        <f t="shared" si="62"/>
        <v>0</v>
      </c>
      <c r="Y114" s="14">
        <f t="shared" si="63"/>
        <v>7443.35</v>
      </c>
      <c r="Z114" s="19">
        <v>27.5</v>
      </c>
      <c r="AA114" s="14">
        <f t="shared" si="67"/>
        <v>20460</v>
      </c>
    </row>
    <row r="115" spans="1:27" x14ac:dyDescent="0.2">
      <c r="B115" s="38" t="s">
        <v>98</v>
      </c>
      <c r="C115" s="3">
        <f t="shared" si="64"/>
        <v>744</v>
      </c>
      <c r="D115" s="18">
        <v>303.8</v>
      </c>
      <c r="E115" s="18">
        <v>440.2</v>
      </c>
      <c r="F115" s="18">
        <v>0</v>
      </c>
      <c r="G115" s="18">
        <v>0</v>
      </c>
      <c r="H115" s="18">
        <v>0</v>
      </c>
      <c r="I115" s="18">
        <v>0</v>
      </c>
      <c r="J115" s="3">
        <v>0</v>
      </c>
      <c r="L115" s="103">
        <v>6538</v>
      </c>
      <c r="M115" s="14">
        <f t="shared" si="56"/>
        <v>744</v>
      </c>
      <c r="O115" s="38" t="s">
        <v>98</v>
      </c>
      <c r="P115" s="3">
        <f t="shared" si="57"/>
        <v>100</v>
      </c>
      <c r="Q115" s="5">
        <f t="shared" si="58"/>
        <v>100</v>
      </c>
      <c r="R115" s="18">
        <f t="shared" si="65"/>
        <v>31.955034213098727</v>
      </c>
      <c r="S115" s="3">
        <f t="shared" si="59"/>
        <v>0</v>
      </c>
      <c r="T115" s="3">
        <f t="shared" si="66"/>
        <v>0</v>
      </c>
      <c r="U115" s="18">
        <f t="shared" si="60"/>
        <v>0</v>
      </c>
      <c r="V115" s="18">
        <f t="shared" si="60"/>
        <v>0</v>
      </c>
      <c r="W115" s="18">
        <f t="shared" si="61"/>
        <v>0</v>
      </c>
      <c r="X115" s="18">
        <f t="shared" si="62"/>
        <v>0</v>
      </c>
      <c r="Y115" s="14">
        <f t="shared" si="63"/>
        <v>6538</v>
      </c>
      <c r="Z115" s="19">
        <v>27.5</v>
      </c>
      <c r="AA115" s="14">
        <f t="shared" si="67"/>
        <v>20460</v>
      </c>
    </row>
    <row r="116" spans="1:27" s="68" customFormat="1" x14ac:dyDescent="0.2">
      <c r="B116" s="149" t="s">
        <v>99</v>
      </c>
      <c r="C116" s="150">
        <f t="shared" si="64"/>
        <v>0</v>
      </c>
      <c r="D116" s="150">
        <v>0</v>
      </c>
      <c r="E116" s="150">
        <v>0</v>
      </c>
      <c r="F116" s="150">
        <v>744</v>
      </c>
      <c r="G116" s="150">
        <v>0</v>
      </c>
      <c r="H116" s="150">
        <v>0</v>
      </c>
      <c r="I116" s="150">
        <v>0</v>
      </c>
      <c r="J116" s="150">
        <v>0</v>
      </c>
      <c r="K116" s="3"/>
      <c r="L116" s="151">
        <v>0</v>
      </c>
      <c r="M116" s="68">
        <f t="shared" si="56"/>
        <v>744</v>
      </c>
      <c r="O116" s="149" t="s">
        <v>99</v>
      </c>
      <c r="P116" s="150">
        <f t="shared" si="57"/>
        <v>0</v>
      </c>
      <c r="Q116" s="152">
        <f t="shared" si="58"/>
        <v>0</v>
      </c>
      <c r="R116" s="153">
        <f t="shared" si="65"/>
        <v>0</v>
      </c>
      <c r="S116" s="150">
        <f t="shared" si="59"/>
        <v>100</v>
      </c>
      <c r="T116" s="150">
        <f t="shared" si="66"/>
        <v>0</v>
      </c>
      <c r="U116" s="153">
        <f t="shared" si="60"/>
        <v>0</v>
      </c>
      <c r="V116" s="153">
        <f t="shared" si="60"/>
        <v>0</v>
      </c>
      <c r="W116" s="153">
        <f t="shared" si="61"/>
        <v>100</v>
      </c>
      <c r="X116" s="153">
        <f t="shared" si="62"/>
        <v>0</v>
      </c>
      <c r="Y116" s="68">
        <f t="shared" si="63"/>
        <v>0</v>
      </c>
      <c r="Z116" s="154">
        <v>27.5</v>
      </c>
      <c r="AA116" s="68">
        <f t="shared" si="67"/>
        <v>20460</v>
      </c>
    </row>
    <row r="117" spans="1:27" s="68" customFormat="1" x14ac:dyDescent="0.2">
      <c r="B117" s="149" t="s">
        <v>100</v>
      </c>
      <c r="C117" s="150">
        <f t="shared" si="64"/>
        <v>0</v>
      </c>
      <c r="D117" s="150">
        <v>0</v>
      </c>
      <c r="E117" s="150">
        <v>0</v>
      </c>
      <c r="F117" s="150">
        <v>744</v>
      </c>
      <c r="G117" s="150">
        <v>0</v>
      </c>
      <c r="H117" s="150">
        <v>0</v>
      </c>
      <c r="I117" s="150">
        <v>0</v>
      </c>
      <c r="J117" s="150">
        <v>0</v>
      </c>
      <c r="K117" s="3"/>
      <c r="L117" s="151">
        <v>0</v>
      </c>
      <c r="M117" s="68">
        <f t="shared" si="56"/>
        <v>744</v>
      </c>
      <c r="O117" s="149" t="s">
        <v>100</v>
      </c>
      <c r="P117" s="150">
        <f t="shared" si="57"/>
        <v>0</v>
      </c>
      <c r="Q117" s="152">
        <f t="shared" si="58"/>
        <v>0</v>
      </c>
      <c r="R117" s="153">
        <f t="shared" si="65"/>
        <v>0</v>
      </c>
      <c r="S117" s="150">
        <f t="shared" si="59"/>
        <v>100</v>
      </c>
      <c r="T117" s="150">
        <f t="shared" si="66"/>
        <v>0</v>
      </c>
      <c r="U117" s="153">
        <f t="shared" si="60"/>
        <v>0</v>
      </c>
      <c r="V117" s="153">
        <f t="shared" si="60"/>
        <v>0</v>
      </c>
      <c r="W117" s="153">
        <f t="shared" si="61"/>
        <v>100</v>
      </c>
      <c r="X117" s="153">
        <f t="shared" si="62"/>
        <v>0</v>
      </c>
      <c r="Y117" s="68">
        <f t="shared" si="63"/>
        <v>0</v>
      </c>
      <c r="Z117" s="154">
        <v>27.5</v>
      </c>
      <c r="AA117" s="68">
        <f t="shared" si="67"/>
        <v>20460</v>
      </c>
    </row>
    <row r="118" spans="1:27" x14ac:dyDescent="0.2">
      <c r="B118" s="143" t="s">
        <v>101</v>
      </c>
      <c r="C118" s="66">
        <v>744</v>
      </c>
      <c r="D118" s="67">
        <v>326.7</v>
      </c>
      <c r="E118" s="67">
        <v>417.3</v>
      </c>
      <c r="F118" s="66">
        <v>0</v>
      </c>
      <c r="G118" s="66">
        <v>0</v>
      </c>
      <c r="H118" s="66">
        <v>0</v>
      </c>
      <c r="I118" s="66">
        <v>0</v>
      </c>
      <c r="J118" s="66">
        <v>0</v>
      </c>
      <c r="L118" s="103">
        <v>7596</v>
      </c>
      <c r="M118" s="14">
        <f t="shared" si="56"/>
        <v>744</v>
      </c>
      <c r="O118" s="143" t="s">
        <v>101</v>
      </c>
      <c r="P118" s="66">
        <f t="shared" si="57"/>
        <v>100</v>
      </c>
      <c r="Q118" s="137">
        <f t="shared" si="58"/>
        <v>100</v>
      </c>
      <c r="R118" s="18">
        <f t="shared" si="65"/>
        <v>37.126099706744867</v>
      </c>
      <c r="S118" s="66">
        <f t="shared" si="59"/>
        <v>0</v>
      </c>
      <c r="T118" s="66">
        <f t="shared" si="66"/>
        <v>0</v>
      </c>
      <c r="U118" s="67">
        <f t="shared" si="60"/>
        <v>0</v>
      </c>
      <c r="V118" s="67">
        <f t="shared" si="60"/>
        <v>0</v>
      </c>
      <c r="W118" s="67">
        <f t="shared" si="61"/>
        <v>0</v>
      </c>
      <c r="X118" s="67">
        <f t="shared" si="62"/>
        <v>0</v>
      </c>
      <c r="Y118" s="14">
        <f t="shared" si="63"/>
        <v>7596</v>
      </c>
      <c r="Z118" s="19">
        <v>27.5</v>
      </c>
      <c r="AA118" s="14">
        <f t="shared" si="67"/>
        <v>20460</v>
      </c>
    </row>
    <row r="119" spans="1:27" ht="14.25" thickBot="1" x14ac:dyDescent="0.25">
      <c r="A119" s="50"/>
      <c r="B119" s="144" t="s">
        <v>92</v>
      </c>
      <c r="C119" s="139">
        <f>SUM(C111:C118)</f>
        <v>4464</v>
      </c>
      <c r="D119" s="139">
        <f t="shared" ref="D119:J119" si="68">SUM(D111:D118)</f>
        <v>1903.3999999999999</v>
      </c>
      <c r="E119" s="139">
        <f t="shared" si="68"/>
        <v>2560.6000000000004</v>
      </c>
      <c r="F119" s="139">
        <f t="shared" si="68"/>
        <v>1488</v>
      </c>
      <c r="G119" s="139">
        <f t="shared" si="68"/>
        <v>0</v>
      </c>
      <c r="H119" s="139">
        <f t="shared" si="68"/>
        <v>0</v>
      </c>
      <c r="I119" s="139">
        <f t="shared" si="68"/>
        <v>0</v>
      </c>
      <c r="J119" s="139">
        <f t="shared" si="68"/>
        <v>0</v>
      </c>
      <c r="L119" s="15">
        <f>SUM(L111:L118)</f>
        <v>42005.3</v>
      </c>
      <c r="M119" s="14">
        <f>SUM(M111:M118)/8</f>
        <v>744</v>
      </c>
      <c r="N119" s="50"/>
      <c r="O119" s="144" t="s">
        <v>92</v>
      </c>
      <c r="P119" s="139">
        <f>SUM(P111:P118)/8</f>
        <v>75</v>
      </c>
      <c r="Q119" s="145">
        <f>SUM(Q111:Q118)/6</f>
        <v>100</v>
      </c>
      <c r="R119" s="53">
        <f t="shared" ref="R119:X119" si="69">SUM(R111:R118)</f>
        <v>205.30449657869013</v>
      </c>
      <c r="S119" s="139">
        <f t="shared" si="69"/>
        <v>200</v>
      </c>
      <c r="T119" s="139">
        <f>(T111*Z111+T112*Z112+T113*Z113+T114*Z114+T115*Z115+T116*Z116+T117*Z117+T118*Z118)/Z119</f>
        <v>0</v>
      </c>
      <c r="U119" s="61">
        <f t="shared" si="69"/>
        <v>0</v>
      </c>
      <c r="V119" s="61">
        <f t="shared" si="69"/>
        <v>0</v>
      </c>
      <c r="W119" s="61">
        <f t="shared" si="69"/>
        <v>200</v>
      </c>
      <c r="X119" s="61">
        <f t="shared" si="69"/>
        <v>0</v>
      </c>
      <c r="Y119" s="14">
        <f>SUM(Y111:Y118)</f>
        <v>42005.3</v>
      </c>
      <c r="Z119" s="14">
        <f>SUM(Z111:Z118)</f>
        <v>220</v>
      </c>
    </row>
    <row r="120" spans="1:27" x14ac:dyDescent="0.2">
      <c r="J120" s="37"/>
      <c r="K120" s="37"/>
    </row>
    <row r="121" spans="1:27" x14ac:dyDescent="0.2">
      <c r="L121" s="155"/>
      <c r="M121" s="156"/>
    </row>
    <row r="122" spans="1:27" x14ac:dyDescent="0.2">
      <c r="A122" s="28" t="s">
        <v>102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157"/>
      <c r="M122" s="1"/>
      <c r="Z122" s="14"/>
    </row>
    <row r="123" spans="1:27" ht="15" x14ac:dyDescent="0.2">
      <c r="A123" s="28" t="s">
        <v>1</v>
      </c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158"/>
      <c r="M123" s="2"/>
      <c r="N123" s="28"/>
      <c r="O123" s="27"/>
      <c r="P123" s="27"/>
      <c r="Q123" s="82"/>
      <c r="R123" s="27"/>
      <c r="S123" s="27"/>
      <c r="T123" s="27"/>
      <c r="U123" s="27"/>
      <c r="V123" s="27"/>
      <c r="W123" s="77"/>
      <c r="X123" s="27"/>
      <c r="Z123" s="14"/>
    </row>
    <row r="124" spans="1:27" x14ac:dyDescent="0.2">
      <c r="A124" s="28" t="s">
        <v>3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157"/>
      <c r="M124" s="2"/>
      <c r="N124" s="28" t="s">
        <v>89</v>
      </c>
      <c r="O124" s="27"/>
      <c r="P124" s="27"/>
      <c r="Q124" s="82"/>
      <c r="R124" s="27"/>
      <c r="S124" s="27"/>
      <c r="T124" s="27"/>
      <c r="U124" s="27"/>
      <c r="V124" s="27"/>
      <c r="W124" s="77"/>
      <c r="X124" s="27"/>
      <c r="Z124" s="14"/>
    </row>
    <row r="125" spans="1:27" ht="14.25" thickBot="1" x14ac:dyDescent="0.25">
      <c r="J125" s="37"/>
      <c r="K125" s="37"/>
      <c r="L125" s="13" t="s">
        <v>25</v>
      </c>
      <c r="N125" s="30" t="str">
        <f>$N$58</f>
        <v>HORAS EN EL MES:</v>
      </c>
      <c r="P125" s="17">
        <f>$C$5</f>
        <v>744</v>
      </c>
      <c r="Y125" s="181" t="s">
        <v>25</v>
      </c>
      <c r="Z125" s="14"/>
    </row>
    <row r="126" spans="1:27" ht="15" thickTop="1" thickBot="1" x14ac:dyDescent="0.25">
      <c r="A126" s="159" t="s">
        <v>6</v>
      </c>
      <c r="B126" s="159" t="s">
        <v>7</v>
      </c>
      <c r="C126" s="160" t="s">
        <v>8</v>
      </c>
      <c r="D126" s="160" t="s">
        <v>9</v>
      </c>
      <c r="E126" s="160" t="s">
        <v>10</v>
      </c>
      <c r="F126" s="160" t="s">
        <v>11</v>
      </c>
      <c r="G126" s="160" t="s">
        <v>12</v>
      </c>
      <c r="H126" s="160" t="s">
        <v>13</v>
      </c>
      <c r="I126" s="160" t="s">
        <v>14</v>
      </c>
      <c r="J126" s="160" t="s">
        <v>15</v>
      </c>
      <c r="K126" s="17"/>
      <c r="L126" s="13" t="s">
        <v>120</v>
      </c>
      <c r="N126" s="159" t="s">
        <v>6</v>
      </c>
      <c r="O126" s="98" t="s">
        <v>7</v>
      </c>
      <c r="P126" s="160" t="s">
        <v>16</v>
      </c>
      <c r="Q126" s="161" t="s">
        <v>17</v>
      </c>
      <c r="R126" s="160" t="s">
        <v>18</v>
      </c>
      <c r="S126" s="160" t="s">
        <v>19</v>
      </c>
      <c r="T126" s="160" t="s">
        <v>20</v>
      </c>
      <c r="U126" s="160" t="s">
        <v>21</v>
      </c>
      <c r="V126" s="160" t="s">
        <v>22</v>
      </c>
      <c r="W126" s="162" t="s">
        <v>23</v>
      </c>
      <c r="X126" s="160" t="s">
        <v>24</v>
      </c>
      <c r="Y126" s="181" t="s">
        <v>120</v>
      </c>
      <c r="Z126" s="38" t="s">
        <v>26</v>
      </c>
      <c r="AA126" s="3" t="s">
        <v>27</v>
      </c>
    </row>
    <row r="127" spans="1:27" ht="14.25" thickTop="1" x14ac:dyDescent="0.2">
      <c r="B127" s="38" t="s">
        <v>103</v>
      </c>
      <c r="C127" s="18">
        <f>$C$5-(F127+G127+H127)</f>
        <v>378</v>
      </c>
      <c r="D127" s="18">
        <v>33.5</v>
      </c>
      <c r="E127" s="18">
        <v>344.5</v>
      </c>
      <c r="F127" s="18">
        <v>366</v>
      </c>
      <c r="G127" s="18">
        <v>0</v>
      </c>
      <c r="H127" s="18">
        <v>0</v>
      </c>
      <c r="I127" s="58">
        <f>IF(D127=0,0,IF((L127/D127)&gt;Z127,0,((Z127-(L127/D127))*D127/Z127)))</f>
        <v>0.98148148148148118</v>
      </c>
      <c r="J127" s="3">
        <v>1</v>
      </c>
      <c r="L127" s="63">
        <v>878</v>
      </c>
      <c r="M127" s="138">
        <f>D127+E127+F127+G127+H127+K127</f>
        <v>744</v>
      </c>
      <c r="O127" s="38" t="s">
        <v>103</v>
      </c>
      <c r="P127" s="18">
        <f>C127/$C$5*100</f>
        <v>50.806451612903224</v>
      </c>
      <c r="Q127" s="18">
        <f>(C127-I127)*100/$C$5</f>
        <v>50.674532058940663</v>
      </c>
      <c r="R127" s="87">
        <f>(Y127*100)/($C$5*Z127)</f>
        <v>4.3707686180804464</v>
      </c>
      <c r="S127" s="18">
        <f>IF((AND(D127=0,F127=0)),0,F127/(D127+F127)*100)</f>
        <v>91.614518147684606</v>
      </c>
      <c r="T127" s="18">
        <f>IF((AND(D127=0,F127=0)),0,(F127+I127)/(D127+F127)*100)</f>
        <v>91.86019561488898</v>
      </c>
      <c r="U127" s="18">
        <f t="shared" ref="U127:V129" si="70">G127*100/$C$5</f>
        <v>0</v>
      </c>
      <c r="V127" s="18">
        <f t="shared" si="70"/>
        <v>0</v>
      </c>
      <c r="W127" s="18">
        <f>F127*100/$C$5</f>
        <v>49.193548387096776</v>
      </c>
      <c r="X127" s="18">
        <f>I127*100/$C$5</f>
        <v>0.13191955396256469</v>
      </c>
      <c r="Y127" s="23">
        <f>L127</f>
        <v>878</v>
      </c>
      <c r="Z127" s="23">
        <v>27</v>
      </c>
      <c r="AA127" s="14">
        <f>Z127*$C$5</f>
        <v>20088</v>
      </c>
    </row>
    <row r="128" spans="1:27" x14ac:dyDescent="0.2">
      <c r="A128" s="17" t="s">
        <v>104</v>
      </c>
      <c r="B128" s="38" t="s">
        <v>105</v>
      </c>
      <c r="C128" s="18">
        <f t="shared" ref="C128:C129" si="71">$C$5-(F128+G128+H128)</f>
        <v>744</v>
      </c>
      <c r="D128" s="18">
        <v>136.6</v>
      </c>
      <c r="E128" s="18">
        <v>607.4</v>
      </c>
      <c r="F128" s="18">
        <v>0</v>
      </c>
      <c r="G128" s="18">
        <v>0</v>
      </c>
      <c r="H128" s="18">
        <v>0</v>
      </c>
      <c r="I128" s="58">
        <f>IF(D128=0,0,IF((L128/D128)&gt;Z128,0,((Z128-(L128/D128))*D128/Z128)))</f>
        <v>1.4148148148148063</v>
      </c>
      <c r="J128" s="3">
        <v>0</v>
      </c>
      <c r="L128" s="81">
        <v>3650</v>
      </c>
      <c r="M128" s="138">
        <f>D128+E128+F128+G128+H128+K128</f>
        <v>744</v>
      </c>
      <c r="N128" s="17" t="s">
        <v>106</v>
      </c>
      <c r="O128" s="38" t="s">
        <v>105</v>
      </c>
      <c r="P128" s="18">
        <f>C128/$C$5*100</f>
        <v>100</v>
      </c>
      <c r="Q128" s="18">
        <f>(C128-I128)*100/$C$5</f>
        <v>99.809836718438874</v>
      </c>
      <c r="R128" s="87">
        <f>(Y128*100)/($C$5*Z128)</f>
        <v>18.17005177220231</v>
      </c>
      <c r="S128" s="18">
        <f>IF((AND(D128=0,F128=0)),0,F128/(D128+F128)*100)</f>
        <v>0</v>
      </c>
      <c r="T128" s="18">
        <f>IF((AND(D128=0,F128=0)),0,(F128+I128)/(D128+F128)*100)</f>
        <v>1.0357355891762858</v>
      </c>
      <c r="U128" s="18">
        <f t="shared" si="70"/>
        <v>0</v>
      </c>
      <c r="V128" s="18">
        <f t="shared" si="70"/>
        <v>0</v>
      </c>
      <c r="W128" s="18">
        <f>F128*100/$C$5</f>
        <v>0</v>
      </c>
      <c r="X128" s="18">
        <f>I128*100/$C$5</f>
        <v>0.19016328156112988</v>
      </c>
      <c r="Y128" s="23">
        <f>L128</f>
        <v>3650</v>
      </c>
      <c r="Z128" s="23">
        <v>27</v>
      </c>
      <c r="AA128" s="14">
        <f>Z128*$C$5</f>
        <v>20088</v>
      </c>
    </row>
    <row r="129" spans="1:27" x14ac:dyDescent="0.2">
      <c r="B129" s="143" t="s">
        <v>107</v>
      </c>
      <c r="C129" s="18">
        <f t="shared" si="71"/>
        <v>732</v>
      </c>
      <c r="D129" s="67">
        <v>118.9</v>
      </c>
      <c r="E129" s="67">
        <v>613.1</v>
      </c>
      <c r="F129" s="67">
        <v>12</v>
      </c>
      <c r="G129" s="67">
        <v>0</v>
      </c>
      <c r="H129" s="67">
        <v>0</v>
      </c>
      <c r="I129" s="96">
        <f>IF(D129=0,0,IF((L129/D129)&gt;Z129,0,((Z129-(L129/D129))*D129/Z129)))</f>
        <v>33.011111111111113</v>
      </c>
      <c r="J129" s="66">
        <v>0</v>
      </c>
      <c r="L129" s="81">
        <v>2319</v>
      </c>
      <c r="M129" s="138">
        <f>D129+E129+F129+G129+H129+K129</f>
        <v>744</v>
      </c>
      <c r="O129" s="143" t="s">
        <v>107</v>
      </c>
      <c r="P129" s="18">
        <f>C129/$C$5*100</f>
        <v>98.387096774193552</v>
      </c>
      <c r="Q129" s="18">
        <f>(C129-I129)*100/$C$5</f>
        <v>93.950119474313027</v>
      </c>
      <c r="R129" s="87">
        <f>(Y129*100)/($C$5*Z129)</f>
        <v>11.544205495818399</v>
      </c>
      <c r="S129" s="18">
        <f>IF((AND(D129=0,F129=0)),0,F129/(D129+F129)*100)</f>
        <v>9.1673032849503429</v>
      </c>
      <c r="T129" s="18">
        <f>IF((AND(D129=0,F129=0)),0,(F129+I129)/(D129+F129)*100)</f>
        <v>34.385875562346151</v>
      </c>
      <c r="U129" s="18">
        <f t="shared" si="70"/>
        <v>0</v>
      </c>
      <c r="V129" s="18">
        <f t="shared" si="70"/>
        <v>0</v>
      </c>
      <c r="W129" s="18">
        <f>F129*100/$C$5</f>
        <v>1.6129032258064515</v>
      </c>
      <c r="X129" s="18">
        <f>I129*100/$C$5</f>
        <v>4.4369772998805264</v>
      </c>
      <c r="Y129" s="23">
        <f>L129</f>
        <v>2319</v>
      </c>
      <c r="Z129" s="23">
        <v>27</v>
      </c>
      <c r="AA129" s="14">
        <f>Z129*$C$5</f>
        <v>20088</v>
      </c>
    </row>
    <row r="130" spans="1:27" ht="14.25" thickBot="1" x14ac:dyDescent="0.25">
      <c r="A130" s="50"/>
      <c r="B130" s="144" t="s">
        <v>92</v>
      </c>
      <c r="C130" s="94">
        <f t="shared" ref="C130:J130" si="72">SUM(C127:C129)</f>
        <v>1854</v>
      </c>
      <c r="D130" s="61">
        <f t="shared" si="72"/>
        <v>289</v>
      </c>
      <c r="E130" s="61">
        <f t="shared" si="72"/>
        <v>1565</v>
      </c>
      <c r="F130" s="61">
        <f t="shared" si="72"/>
        <v>378</v>
      </c>
      <c r="G130" s="61">
        <f t="shared" si="72"/>
        <v>0</v>
      </c>
      <c r="H130" s="61">
        <f t="shared" si="72"/>
        <v>0</v>
      </c>
      <c r="I130" s="61">
        <f t="shared" si="72"/>
        <v>35.407407407407398</v>
      </c>
      <c r="J130" s="139">
        <f t="shared" si="72"/>
        <v>1</v>
      </c>
      <c r="L130" s="63">
        <f>SUM(L127:L129)</f>
        <v>6847</v>
      </c>
      <c r="M130" s="138">
        <f>SUM(M127:M129)/3</f>
        <v>744</v>
      </c>
      <c r="N130" s="50"/>
      <c r="O130" s="163" t="s">
        <v>92</v>
      </c>
      <c r="P130" s="53">
        <f>(P127*$Z$127+P128*$Z$128+P129*$Z$129)/$Z$130</f>
        <v>83.06451612903227</v>
      </c>
      <c r="Q130" s="53">
        <f>(Q127*$Z$127+Q128*$Z$128+Q129*$Z$129)/$Z$130</f>
        <v>81.478162750564181</v>
      </c>
      <c r="R130" s="93">
        <f>(R127*$Z$127+R128*$Z$128+R129*$Z$129)/$Z$130</f>
        <v>11.361675295367052</v>
      </c>
      <c r="S130" s="53">
        <f>(S127*$Z$127+S128*$Z$128+S129*$Z$129)/$Z$130</f>
        <v>33.593940477544983</v>
      </c>
      <c r="T130" s="53">
        <f>(T127*$Z$127+T128*$Z$128+T129*$Z$129)/$Z$130</f>
        <v>42.427268922137138</v>
      </c>
      <c r="U130" s="53">
        <f>AVERAGE(U127:U129)</f>
        <v>0</v>
      </c>
      <c r="V130" s="53">
        <f>AVERAGE(V127:V129)</f>
        <v>0</v>
      </c>
      <c r="W130" s="53">
        <f>AVERAGE(W127:W129)</f>
        <v>16.93548387096774</v>
      </c>
      <c r="X130" s="53">
        <f>AVERAGE(X127:X129)</f>
        <v>1.5863533784680737</v>
      </c>
      <c r="Y130" s="23">
        <f>SUM(Y127:Y129)</f>
        <v>6847</v>
      </c>
      <c r="Z130" s="23">
        <f>SUM(Z127:Z129)</f>
        <v>81</v>
      </c>
    </row>
    <row r="131" spans="1:27" x14ac:dyDescent="0.2">
      <c r="L131" s="103"/>
    </row>
    <row r="132" spans="1:27" x14ac:dyDescent="0.2"/>
    <row r="133" spans="1:27" x14ac:dyDescent="0.2">
      <c r="A133" s="28" t="s">
        <v>108</v>
      </c>
      <c r="B133" s="164"/>
      <c r="C133" s="164"/>
      <c r="D133" s="165"/>
      <c r="E133" s="164"/>
      <c r="F133" s="164"/>
      <c r="G133" s="164"/>
      <c r="H133" s="164"/>
      <c r="I133" s="164"/>
      <c r="J133" s="164"/>
      <c r="K133" s="164"/>
      <c r="L133" s="166"/>
      <c r="M133" s="40"/>
      <c r="N133" s="167"/>
      <c r="O133" s="27"/>
      <c r="P133" s="27"/>
      <c r="Q133" s="28"/>
      <c r="R133" s="27"/>
      <c r="S133" s="27"/>
      <c r="T133" s="27"/>
      <c r="U133" s="27"/>
      <c r="V133" s="27"/>
      <c r="W133" s="27"/>
      <c r="X133" s="27"/>
      <c r="Z133" s="14"/>
    </row>
    <row r="134" spans="1:27" x14ac:dyDescent="0.2">
      <c r="A134" s="28" t="s">
        <v>109</v>
      </c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6"/>
      <c r="M134" s="40"/>
      <c r="N134" s="16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Z134" s="14"/>
    </row>
    <row r="135" spans="1:27" x14ac:dyDescent="0.2">
      <c r="A135" s="28" t="s">
        <v>1</v>
      </c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6"/>
      <c r="M135" s="40"/>
      <c r="N135" s="16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Z135" s="14"/>
    </row>
    <row r="136" spans="1:27" x14ac:dyDescent="0.2">
      <c r="A136" s="28" t="s">
        <v>3</v>
      </c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6"/>
      <c r="M136" s="40"/>
      <c r="N136" s="16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Z136" s="14"/>
    </row>
    <row r="137" spans="1:27" x14ac:dyDescent="0.2">
      <c r="B137" s="40"/>
      <c r="C137" s="38"/>
      <c r="D137" s="38"/>
      <c r="E137" s="38"/>
      <c r="F137" s="38"/>
      <c r="G137" s="38"/>
      <c r="H137" s="38"/>
      <c r="I137" s="38"/>
      <c r="J137" s="38"/>
      <c r="K137" s="38"/>
      <c r="L137" s="166"/>
      <c r="M137" s="40"/>
      <c r="N137" s="167"/>
      <c r="Q137" s="3"/>
      <c r="W137" s="3"/>
      <c r="Z137" s="14"/>
    </row>
    <row r="138" spans="1:27" x14ac:dyDescent="0.2">
      <c r="D138" s="38"/>
      <c r="E138" s="38"/>
      <c r="F138" s="38"/>
      <c r="G138" s="38"/>
      <c r="H138" s="38"/>
      <c r="I138" s="38"/>
      <c r="J138" s="29"/>
      <c r="K138" s="169"/>
      <c r="L138" s="166"/>
      <c r="M138" s="40"/>
      <c r="Q138" s="3"/>
      <c r="W138" s="14"/>
      <c r="X138" s="37"/>
      <c r="Z138" s="14"/>
    </row>
    <row r="139" spans="1:27" ht="14.25" thickBot="1" x14ac:dyDescent="0.25">
      <c r="A139" s="30" t="str">
        <f>A58</f>
        <v>HORAS EN EL MES:</v>
      </c>
      <c r="B139" s="40"/>
      <c r="C139" s="168">
        <f>C5</f>
        <v>744</v>
      </c>
      <c r="D139" s="38"/>
      <c r="E139" s="38"/>
      <c r="F139" s="38"/>
      <c r="G139" s="38"/>
      <c r="H139" s="38"/>
      <c r="I139" s="38"/>
      <c r="J139" s="38"/>
      <c r="K139" s="38"/>
      <c r="L139" s="13" t="s">
        <v>25</v>
      </c>
      <c r="M139" s="40"/>
      <c r="N139" s="30" t="str">
        <f>$N$58</f>
        <v>HORAS EN EL MES:</v>
      </c>
      <c r="P139" s="17">
        <f>P5</f>
        <v>744</v>
      </c>
      <c r="Q139" s="3"/>
      <c r="W139" s="3"/>
      <c r="Y139" s="181" t="s">
        <v>25</v>
      </c>
      <c r="Z139" s="14"/>
    </row>
    <row r="140" spans="1:27" ht="15" thickTop="1" thickBot="1" x14ac:dyDescent="0.25">
      <c r="A140" s="33" t="s">
        <v>72</v>
      </c>
      <c r="B140" s="170" t="s">
        <v>7</v>
      </c>
      <c r="C140" s="171" t="s">
        <v>8</v>
      </c>
      <c r="D140" s="171" t="s">
        <v>9</v>
      </c>
      <c r="E140" s="171" t="s">
        <v>10</v>
      </c>
      <c r="F140" s="171" t="s">
        <v>11</v>
      </c>
      <c r="G140" s="171" t="s">
        <v>12</v>
      </c>
      <c r="H140" s="171" t="s">
        <v>13</v>
      </c>
      <c r="I140" s="33" t="s">
        <v>14</v>
      </c>
      <c r="J140" s="168"/>
      <c r="K140" s="168"/>
      <c r="L140" s="13" t="s">
        <v>120</v>
      </c>
      <c r="M140" s="40"/>
      <c r="N140" s="159" t="s">
        <v>6</v>
      </c>
      <c r="O140" s="172" t="s">
        <v>7</v>
      </c>
      <c r="P140" s="109" t="s">
        <v>16</v>
      </c>
      <c r="Q140" s="34" t="s">
        <v>17</v>
      </c>
      <c r="R140" s="34" t="s">
        <v>18</v>
      </c>
      <c r="S140" s="34" t="s">
        <v>19</v>
      </c>
      <c r="T140" s="34" t="s">
        <v>20</v>
      </c>
      <c r="U140" s="34" t="s">
        <v>21</v>
      </c>
      <c r="V140" s="34" t="s">
        <v>22</v>
      </c>
      <c r="W140" s="33" t="s">
        <v>23</v>
      </c>
      <c r="X140" s="33" t="s">
        <v>24</v>
      </c>
      <c r="Y140" s="181" t="s">
        <v>120</v>
      </c>
      <c r="Z140" s="14" t="s">
        <v>26</v>
      </c>
      <c r="AA140" s="14" t="s">
        <v>27</v>
      </c>
    </row>
    <row r="141" spans="1:27" ht="13.5" customHeight="1" x14ac:dyDescent="0.2">
      <c r="A141" s="10" t="s">
        <v>124</v>
      </c>
      <c r="B141" s="3" t="s">
        <v>110</v>
      </c>
      <c r="C141" s="3">
        <v>744</v>
      </c>
      <c r="D141" s="18">
        <v>379.08</v>
      </c>
      <c r="E141" s="18">
        <v>255.09</v>
      </c>
      <c r="F141" s="18">
        <v>72.45</v>
      </c>
      <c r="G141" s="18">
        <v>37.380000000000003</v>
      </c>
      <c r="H141" s="18">
        <v>0</v>
      </c>
      <c r="I141" s="58">
        <f t="shared" ref="I141:I150" si="73">IF(D141=0,0,IF((L141/D141)&gt;Z141,0,((Z141-(L141/D141))*D141/Z141)))</f>
        <v>0</v>
      </c>
      <c r="K141" s="14"/>
      <c r="L141" s="173">
        <v>9852.0079999999998</v>
      </c>
      <c r="M141" s="40">
        <f t="shared" ref="M141:M150" si="74">D141+E141+F141+G141+H141+K141</f>
        <v>744</v>
      </c>
      <c r="N141" s="10" t="s">
        <v>124</v>
      </c>
      <c r="O141" s="3" t="s">
        <v>110</v>
      </c>
      <c r="P141" s="3">
        <f t="shared" ref="P141:P150" si="75">C141/$C$5*100</f>
        <v>100</v>
      </c>
      <c r="Q141" s="18">
        <f t="shared" ref="Q141:Q150" si="76">(C141-I141)*100/$C$5</f>
        <v>100</v>
      </c>
      <c r="R141" s="5">
        <f t="shared" ref="R141:R150" si="77">(Y141*100)/($C$5*Z141)</f>
        <v>52.967784946236556</v>
      </c>
      <c r="S141" s="5">
        <f t="shared" ref="S141:S150" si="78">IF((AND(D141=0,F141=0)),0,F141/(D141+F141)*100)</f>
        <v>16.045445485349813</v>
      </c>
      <c r="T141" s="5">
        <f t="shared" ref="T141:T150" si="79">IF((AND(D141=0,F141=0)),0,(F141+I141)/(D141+F141)*100)</f>
        <v>16.045445485349813</v>
      </c>
      <c r="U141" s="18">
        <f t="shared" ref="U141:U150" si="80">G141*100/$C$5</f>
        <v>5.024193548387097</v>
      </c>
      <c r="V141" s="18">
        <f t="shared" ref="V141:V150" si="81">H141*100/$C$5</f>
        <v>0</v>
      </c>
      <c r="W141" s="18">
        <f t="shared" ref="W141:W150" si="82">F141*100/$C$5</f>
        <v>9.737903225806452</v>
      </c>
      <c r="X141" s="18">
        <f t="shared" ref="X141:X150" si="83">I141*100/$C$5</f>
        <v>0</v>
      </c>
      <c r="Y141" s="174">
        <f t="shared" ref="Y141:Y150" si="84">L141</f>
        <v>9852.0079999999998</v>
      </c>
      <c r="Z141" s="14">
        <v>25</v>
      </c>
      <c r="AA141" s="14">
        <f>Z141*$C$5</f>
        <v>18600</v>
      </c>
    </row>
    <row r="142" spans="1:27" x14ac:dyDescent="0.2">
      <c r="A142" s="11" t="s">
        <v>122</v>
      </c>
      <c r="B142" s="3" t="s">
        <v>111</v>
      </c>
      <c r="C142" s="3">
        <v>744</v>
      </c>
      <c r="D142" s="18">
        <v>449.57</v>
      </c>
      <c r="E142" s="18">
        <v>238.57</v>
      </c>
      <c r="F142" s="18">
        <v>23.7</v>
      </c>
      <c r="G142" s="18">
        <v>32.159999999999997</v>
      </c>
      <c r="H142" s="18">
        <v>0</v>
      </c>
      <c r="I142" s="58">
        <f t="shared" si="73"/>
        <v>0</v>
      </c>
      <c r="K142" s="14"/>
      <c r="L142" s="173">
        <v>12520.894</v>
      </c>
      <c r="M142" s="40">
        <f t="shared" si="74"/>
        <v>744</v>
      </c>
      <c r="N142" s="11" t="s">
        <v>122</v>
      </c>
      <c r="O142" s="3" t="s">
        <v>111</v>
      </c>
      <c r="P142" s="3">
        <f t="shared" si="75"/>
        <v>100</v>
      </c>
      <c r="Q142" s="18">
        <f t="shared" si="76"/>
        <v>100</v>
      </c>
      <c r="R142" s="5">
        <f t="shared" si="77"/>
        <v>67.316634408602141</v>
      </c>
      <c r="S142" s="5">
        <f t="shared" si="78"/>
        <v>5.0077122995330363</v>
      </c>
      <c r="T142" s="5">
        <f t="shared" si="79"/>
        <v>5.0077122995330363</v>
      </c>
      <c r="U142" s="18">
        <f t="shared" si="80"/>
        <v>4.32258064516129</v>
      </c>
      <c r="V142" s="18">
        <f t="shared" si="81"/>
        <v>0</v>
      </c>
      <c r="W142" s="18">
        <f t="shared" si="82"/>
        <v>3.185483870967742</v>
      </c>
      <c r="X142" s="18">
        <f t="shared" si="83"/>
        <v>0</v>
      </c>
      <c r="Y142" s="174">
        <f t="shared" si="84"/>
        <v>12520.894</v>
      </c>
      <c r="Z142" s="14">
        <v>25</v>
      </c>
      <c r="AA142" s="14">
        <f>Z142*$C$5</f>
        <v>18600</v>
      </c>
    </row>
    <row r="143" spans="1:27" x14ac:dyDescent="0.2">
      <c r="A143" s="11"/>
      <c r="B143" s="3" t="s">
        <v>112</v>
      </c>
      <c r="C143" s="3">
        <v>744</v>
      </c>
      <c r="D143" s="18">
        <v>419.18</v>
      </c>
      <c r="E143" s="18">
        <v>269.36</v>
      </c>
      <c r="F143" s="18">
        <v>23.7</v>
      </c>
      <c r="G143" s="18">
        <v>31.76</v>
      </c>
      <c r="H143" s="18">
        <v>0</v>
      </c>
      <c r="I143" s="58">
        <f t="shared" si="73"/>
        <v>0</v>
      </c>
      <c r="K143" s="14"/>
      <c r="L143" s="173">
        <v>11332.777</v>
      </c>
      <c r="M143" s="40">
        <f t="shared" si="74"/>
        <v>744</v>
      </c>
      <c r="N143" s="11"/>
      <c r="O143" s="3" t="s">
        <v>112</v>
      </c>
      <c r="P143" s="3">
        <f t="shared" si="75"/>
        <v>100</v>
      </c>
      <c r="Q143" s="18">
        <f t="shared" si="76"/>
        <v>100</v>
      </c>
      <c r="R143" s="5">
        <f t="shared" si="77"/>
        <v>60.928908602150536</v>
      </c>
      <c r="S143" s="5">
        <f t="shared" si="78"/>
        <v>5.3513367052023124</v>
      </c>
      <c r="T143" s="5">
        <f t="shared" si="79"/>
        <v>5.3513367052023124</v>
      </c>
      <c r="U143" s="18">
        <f t="shared" si="80"/>
        <v>4.268817204301075</v>
      </c>
      <c r="V143" s="18">
        <f t="shared" si="81"/>
        <v>0</v>
      </c>
      <c r="W143" s="18">
        <f t="shared" si="82"/>
        <v>3.185483870967742</v>
      </c>
      <c r="X143" s="18">
        <f t="shared" si="83"/>
        <v>0</v>
      </c>
      <c r="Y143" s="174">
        <f t="shared" si="84"/>
        <v>11332.777</v>
      </c>
      <c r="Z143" s="14">
        <v>25</v>
      </c>
      <c r="AA143" s="14">
        <f t="shared" ref="AA143:AA150" si="85">Z143*$C$5</f>
        <v>18600</v>
      </c>
    </row>
    <row r="144" spans="1:27" x14ac:dyDescent="0.2">
      <c r="A144" s="11"/>
      <c r="B144" s="3" t="s">
        <v>113</v>
      </c>
      <c r="C144" s="3">
        <v>0</v>
      </c>
      <c r="D144" s="18">
        <v>0</v>
      </c>
      <c r="E144" s="18">
        <v>0</v>
      </c>
      <c r="F144" s="18">
        <v>744</v>
      </c>
      <c r="G144" s="18">
        <v>0</v>
      </c>
      <c r="H144" s="18">
        <v>0</v>
      </c>
      <c r="I144" s="58">
        <f t="shared" si="73"/>
        <v>0</v>
      </c>
      <c r="K144" s="14"/>
      <c r="L144" s="173">
        <v>0</v>
      </c>
      <c r="M144" s="40">
        <f t="shared" si="74"/>
        <v>744</v>
      </c>
      <c r="N144" s="11"/>
      <c r="O144" s="3" t="s">
        <v>113</v>
      </c>
      <c r="P144" s="3">
        <f t="shared" si="75"/>
        <v>0</v>
      </c>
      <c r="Q144" s="18">
        <f t="shared" si="76"/>
        <v>0</v>
      </c>
      <c r="R144" s="5">
        <f t="shared" si="77"/>
        <v>0</v>
      </c>
      <c r="S144" s="5">
        <f t="shared" si="78"/>
        <v>100</v>
      </c>
      <c r="T144" s="5">
        <f t="shared" si="79"/>
        <v>100</v>
      </c>
      <c r="U144" s="18">
        <f t="shared" si="80"/>
        <v>0</v>
      </c>
      <c r="V144" s="18">
        <f t="shared" si="81"/>
        <v>0</v>
      </c>
      <c r="W144" s="18">
        <f t="shared" si="82"/>
        <v>100</v>
      </c>
      <c r="X144" s="18">
        <f t="shared" si="83"/>
        <v>0</v>
      </c>
      <c r="Y144" s="174">
        <f t="shared" si="84"/>
        <v>0</v>
      </c>
      <c r="Z144" s="14">
        <v>25</v>
      </c>
      <c r="AA144" s="14">
        <f t="shared" si="85"/>
        <v>18600</v>
      </c>
    </row>
    <row r="145" spans="1:27" x14ac:dyDescent="0.2">
      <c r="A145" s="11"/>
      <c r="B145" s="3" t="s">
        <v>114</v>
      </c>
      <c r="C145" s="3">
        <v>744</v>
      </c>
      <c r="D145" s="18">
        <v>432.32</v>
      </c>
      <c r="E145" s="18">
        <v>238.58</v>
      </c>
      <c r="F145" s="18">
        <v>44.81</v>
      </c>
      <c r="G145" s="18">
        <v>28.29</v>
      </c>
      <c r="H145" s="18">
        <v>0</v>
      </c>
      <c r="I145" s="58">
        <f t="shared" si="73"/>
        <v>0</v>
      </c>
      <c r="K145" s="14"/>
      <c r="L145" s="173">
        <v>12086.079</v>
      </c>
      <c r="M145" s="40">
        <f t="shared" si="74"/>
        <v>744</v>
      </c>
      <c r="N145" s="11"/>
      <c r="O145" s="3" t="s">
        <v>114</v>
      </c>
      <c r="P145" s="3">
        <f t="shared" si="75"/>
        <v>100</v>
      </c>
      <c r="Q145" s="18">
        <f t="shared" si="76"/>
        <v>100</v>
      </c>
      <c r="R145" s="5">
        <f t="shared" si="77"/>
        <v>64.978919354838709</v>
      </c>
      <c r="S145" s="5">
        <f t="shared" si="78"/>
        <v>9.3915704315385753</v>
      </c>
      <c r="T145" s="5">
        <f t="shared" si="79"/>
        <v>9.3915704315385753</v>
      </c>
      <c r="U145" s="18">
        <f t="shared" si="80"/>
        <v>3.8024193548387095</v>
      </c>
      <c r="V145" s="18">
        <f t="shared" si="81"/>
        <v>0</v>
      </c>
      <c r="W145" s="18">
        <f t="shared" si="82"/>
        <v>6.022849462365591</v>
      </c>
      <c r="X145" s="18">
        <f t="shared" si="83"/>
        <v>0</v>
      </c>
      <c r="Y145" s="174">
        <f t="shared" si="84"/>
        <v>12086.079</v>
      </c>
      <c r="Z145" s="14">
        <v>25</v>
      </c>
      <c r="AA145" s="14">
        <f t="shared" si="85"/>
        <v>18600</v>
      </c>
    </row>
    <row r="146" spans="1:27" x14ac:dyDescent="0.2">
      <c r="A146" s="11"/>
      <c r="B146" s="3" t="s">
        <v>115</v>
      </c>
      <c r="C146" s="3">
        <v>744</v>
      </c>
      <c r="D146" s="18">
        <v>440.26</v>
      </c>
      <c r="E146" s="18">
        <v>253.04</v>
      </c>
      <c r="F146" s="18">
        <v>23.7</v>
      </c>
      <c r="G146" s="18">
        <v>27</v>
      </c>
      <c r="H146" s="18">
        <v>0</v>
      </c>
      <c r="I146" s="58">
        <f t="shared" si="73"/>
        <v>0</v>
      </c>
      <c r="K146" s="14"/>
      <c r="L146" s="173">
        <v>12400.596</v>
      </c>
      <c r="M146" s="40">
        <f t="shared" si="74"/>
        <v>744</v>
      </c>
      <c r="N146" s="11"/>
      <c r="O146" s="3" t="s">
        <v>115</v>
      </c>
      <c r="P146" s="3">
        <f t="shared" si="75"/>
        <v>100</v>
      </c>
      <c r="Q146" s="18">
        <f t="shared" si="76"/>
        <v>100</v>
      </c>
      <c r="R146" s="5">
        <f t="shared" si="77"/>
        <v>66.669870967741929</v>
      </c>
      <c r="S146" s="5">
        <f t="shared" si="78"/>
        <v>5.1081989826709204</v>
      </c>
      <c r="T146" s="5">
        <f t="shared" si="79"/>
        <v>5.1081989826709204</v>
      </c>
      <c r="U146" s="18">
        <f t="shared" si="80"/>
        <v>3.629032258064516</v>
      </c>
      <c r="V146" s="18">
        <f t="shared" si="81"/>
        <v>0</v>
      </c>
      <c r="W146" s="18">
        <f t="shared" si="82"/>
        <v>3.185483870967742</v>
      </c>
      <c r="X146" s="18">
        <f t="shared" si="83"/>
        <v>0</v>
      </c>
      <c r="Y146" s="174">
        <f t="shared" si="84"/>
        <v>12400.596</v>
      </c>
      <c r="Z146" s="14">
        <v>25</v>
      </c>
      <c r="AA146" s="14">
        <f t="shared" si="85"/>
        <v>18600</v>
      </c>
    </row>
    <row r="147" spans="1:27" x14ac:dyDescent="0.2">
      <c r="A147" s="11"/>
      <c r="B147" s="3" t="s">
        <v>116</v>
      </c>
      <c r="C147" s="3">
        <v>744</v>
      </c>
      <c r="D147" s="18">
        <v>433</v>
      </c>
      <c r="E147" s="18">
        <v>260.76</v>
      </c>
      <c r="F147" s="18">
        <v>23.7</v>
      </c>
      <c r="G147" s="18">
        <v>26.54</v>
      </c>
      <c r="H147" s="18">
        <v>0</v>
      </c>
      <c r="I147" s="58">
        <f t="shared" si="73"/>
        <v>0</v>
      </c>
      <c r="K147" s="14"/>
      <c r="L147" s="173">
        <v>10896.683999999999</v>
      </c>
      <c r="M147" s="40">
        <f t="shared" si="74"/>
        <v>744</v>
      </c>
      <c r="N147" s="11"/>
      <c r="O147" s="3" t="s">
        <v>116</v>
      </c>
      <c r="P147" s="3">
        <f t="shared" si="75"/>
        <v>100</v>
      </c>
      <c r="Q147" s="18">
        <f t="shared" si="76"/>
        <v>100</v>
      </c>
      <c r="R147" s="5">
        <f t="shared" si="77"/>
        <v>58.584322580645157</v>
      </c>
      <c r="S147" s="5">
        <f t="shared" si="78"/>
        <v>5.1894022334136194</v>
      </c>
      <c r="T147" s="5">
        <f t="shared" si="79"/>
        <v>5.1894022334136194</v>
      </c>
      <c r="U147" s="18">
        <f t="shared" si="80"/>
        <v>3.567204301075269</v>
      </c>
      <c r="V147" s="18">
        <f t="shared" si="81"/>
        <v>0</v>
      </c>
      <c r="W147" s="18">
        <f t="shared" si="82"/>
        <v>3.185483870967742</v>
      </c>
      <c r="X147" s="18">
        <f t="shared" si="83"/>
        <v>0</v>
      </c>
      <c r="Y147" s="174">
        <f t="shared" si="84"/>
        <v>10896.683999999999</v>
      </c>
      <c r="Z147" s="14">
        <v>25</v>
      </c>
      <c r="AA147" s="14">
        <f t="shared" si="85"/>
        <v>18600</v>
      </c>
    </row>
    <row r="148" spans="1:27" x14ac:dyDescent="0.2">
      <c r="A148" s="11"/>
      <c r="B148" s="3" t="s">
        <v>117</v>
      </c>
      <c r="C148" s="3">
        <v>744</v>
      </c>
      <c r="D148" s="18">
        <v>432.93</v>
      </c>
      <c r="E148" s="18">
        <v>260.06</v>
      </c>
      <c r="F148" s="18">
        <v>23.7</v>
      </c>
      <c r="G148" s="18">
        <v>27.31</v>
      </c>
      <c r="H148" s="18">
        <v>0</v>
      </c>
      <c r="I148" s="58">
        <f t="shared" si="73"/>
        <v>0</v>
      </c>
      <c r="K148" s="14"/>
      <c r="L148" s="173">
        <v>11870.877</v>
      </c>
      <c r="M148" s="40">
        <f t="shared" si="74"/>
        <v>744</v>
      </c>
      <c r="N148" s="11"/>
      <c r="O148" s="3" t="s">
        <v>117</v>
      </c>
      <c r="P148" s="3">
        <f t="shared" si="75"/>
        <v>100</v>
      </c>
      <c r="Q148" s="18">
        <f t="shared" si="76"/>
        <v>100</v>
      </c>
      <c r="R148" s="5">
        <f t="shared" si="77"/>
        <v>63.821919354838705</v>
      </c>
      <c r="S148" s="5">
        <f t="shared" si="78"/>
        <v>5.1901977531042638</v>
      </c>
      <c r="T148" s="5">
        <f t="shared" si="79"/>
        <v>5.1901977531042638</v>
      </c>
      <c r="U148" s="18">
        <f t="shared" si="80"/>
        <v>3.670698924731183</v>
      </c>
      <c r="V148" s="18">
        <f t="shared" si="81"/>
        <v>0</v>
      </c>
      <c r="W148" s="18">
        <f t="shared" si="82"/>
        <v>3.185483870967742</v>
      </c>
      <c r="X148" s="18">
        <f t="shared" si="83"/>
        <v>0</v>
      </c>
      <c r="Y148" s="174">
        <f t="shared" si="84"/>
        <v>11870.877</v>
      </c>
      <c r="Z148" s="14">
        <v>25</v>
      </c>
      <c r="AA148" s="14">
        <f t="shared" si="85"/>
        <v>18600</v>
      </c>
    </row>
    <row r="149" spans="1:27" x14ac:dyDescent="0.2">
      <c r="A149" s="11"/>
      <c r="B149" s="3" t="s">
        <v>118</v>
      </c>
      <c r="C149" s="3">
        <v>744</v>
      </c>
      <c r="D149" s="18">
        <v>94.79</v>
      </c>
      <c r="E149" s="18">
        <v>49.51</v>
      </c>
      <c r="F149" s="18">
        <v>575.70000000000005</v>
      </c>
      <c r="G149" s="18">
        <v>24</v>
      </c>
      <c r="H149" s="18">
        <v>0</v>
      </c>
      <c r="I149" s="58">
        <f t="shared" si="73"/>
        <v>0</v>
      </c>
      <c r="K149" s="14"/>
      <c r="L149" s="173">
        <v>2446.0230000000001</v>
      </c>
      <c r="M149" s="40">
        <f t="shared" si="74"/>
        <v>744</v>
      </c>
      <c r="N149" s="11"/>
      <c r="O149" s="3" t="s">
        <v>118</v>
      </c>
      <c r="P149" s="3">
        <f t="shared" si="75"/>
        <v>100</v>
      </c>
      <c r="Q149" s="18">
        <f t="shared" si="76"/>
        <v>100</v>
      </c>
      <c r="R149" s="5">
        <f t="shared" si="77"/>
        <v>13.150661290322581</v>
      </c>
      <c r="S149" s="5">
        <f t="shared" si="78"/>
        <v>85.862578114513283</v>
      </c>
      <c r="T149" s="5">
        <f t="shared" si="79"/>
        <v>85.862578114513283</v>
      </c>
      <c r="U149" s="18">
        <f t="shared" si="80"/>
        <v>3.225806451612903</v>
      </c>
      <c r="V149" s="18">
        <f t="shared" si="81"/>
        <v>0</v>
      </c>
      <c r="W149" s="18">
        <f t="shared" si="82"/>
        <v>77.379032258064527</v>
      </c>
      <c r="X149" s="18">
        <f t="shared" si="83"/>
        <v>0</v>
      </c>
      <c r="Y149" s="174">
        <f t="shared" si="84"/>
        <v>2446.0230000000001</v>
      </c>
      <c r="Z149" s="14">
        <v>25</v>
      </c>
      <c r="AA149" s="14">
        <f t="shared" si="85"/>
        <v>18600</v>
      </c>
    </row>
    <row r="150" spans="1:27" x14ac:dyDescent="0.2">
      <c r="A150" s="11"/>
      <c r="B150" s="3" t="s">
        <v>119</v>
      </c>
      <c r="C150" s="3">
        <v>744</v>
      </c>
      <c r="D150" s="18">
        <v>422.61</v>
      </c>
      <c r="E150" s="18">
        <v>200.76</v>
      </c>
      <c r="F150" s="18">
        <v>23.7</v>
      </c>
      <c r="G150" s="18">
        <v>96.93</v>
      </c>
      <c r="H150" s="18">
        <v>0</v>
      </c>
      <c r="I150" s="58">
        <f t="shared" si="73"/>
        <v>0</v>
      </c>
      <c r="K150" s="14"/>
      <c r="L150" s="173">
        <v>10950.066999999999</v>
      </c>
      <c r="M150" s="40">
        <f t="shared" si="74"/>
        <v>744</v>
      </c>
      <c r="N150" s="11"/>
      <c r="O150" s="3" t="s">
        <v>119</v>
      </c>
      <c r="P150" s="3">
        <f t="shared" si="75"/>
        <v>100</v>
      </c>
      <c r="Q150" s="18">
        <f t="shared" si="76"/>
        <v>100</v>
      </c>
      <c r="R150" s="5">
        <f t="shared" si="77"/>
        <v>58.871327956989248</v>
      </c>
      <c r="S150" s="5">
        <f t="shared" si="78"/>
        <v>5.3102103918800836</v>
      </c>
      <c r="T150" s="5">
        <f t="shared" si="79"/>
        <v>5.3102103918800836</v>
      </c>
      <c r="U150" s="18">
        <f t="shared" si="80"/>
        <v>13.028225806451612</v>
      </c>
      <c r="V150" s="18">
        <f t="shared" si="81"/>
        <v>0</v>
      </c>
      <c r="W150" s="18">
        <f t="shared" si="82"/>
        <v>3.185483870967742</v>
      </c>
      <c r="X150" s="18">
        <f t="shared" si="83"/>
        <v>0</v>
      </c>
      <c r="Y150" s="174">
        <f t="shared" si="84"/>
        <v>10950.066999999999</v>
      </c>
      <c r="Z150" s="14">
        <v>25</v>
      </c>
      <c r="AA150" s="14">
        <f t="shared" si="85"/>
        <v>18600</v>
      </c>
    </row>
    <row r="151" spans="1:27" ht="14.25" thickBot="1" x14ac:dyDescent="0.25">
      <c r="A151" s="12"/>
      <c r="B151" s="175" t="s">
        <v>92</v>
      </c>
      <c r="C151" s="4">
        <f>SUM(C141:C150)</f>
        <v>6696</v>
      </c>
      <c r="D151" s="53">
        <f>SUM(D141:D150)</f>
        <v>3503.74</v>
      </c>
      <c r="E151" s="176">
        <f t="shared" ref="E151:I151" si="86">SUM(E141:E150)</f>
        <v>2025.73</v>
      </c>
      <c r="F151" s="53">
        <f t="shared" si="86"/>
        <v>1579.1600000000003</v>
      </c>
      <c r="G151" s="53">
        <f t="shared" si="86"/>
        <v>331.37</v>
      </c>
      <c r="H151" s="4">
        <f t="shared" si="86"/>
        <v>0</v>
      </c>
      <c r="I151" s="4">
        <f t="shared" si="86"/>
        <v>0</v>
      </c>
      <c r="L151" s="177">
        <f>SUM(L141:L150)</f>
        <v>94356.005000000005</v>
      </c>
      <c r="M151" s="40">
        <f>(D151+E151+F151+G151+H151+K151)/10</f>
        <v>743.99999999999989</v>
      </c>
      <c r="N151" s="12"/>
      <c r="O151" s="175" t="s">
        <v>92</v>
      </c>
      <c r="P151" s="53">
        <f>(P149*$Z$149+P150*$Z$150+P148*Z148+P147*Z147+P146*Z146+P145*Z145+P144*Z144+P143*Z143+P142*Z142+P141*Z141)/$Z$151</f>
        <v>90</v>
      </c>
      <c r="Q151" s="53">
        <f>(Q149*$Z$149+Q150*$Z$150+Q148*Z148+Q147*Z147+Q146*Z146+Q145*Z145+Q144*Z144+Q143*Z143+Q142*Z142+Q141*Z141)/$Z$151</f>
        <v>90</v>
      </c>
      <c r="R151" s="53">
        <f>(R149*$Z$149+R150*$Z$150+R148*Z148+R147*Z147+R146*Z146+R145*Z145+R144*Z144+R143*Z143+R142*Z142+R141*Z141)/$Z$151</f>
        <v>50.729034946236553</v>
      </c>
      <c r="S151" s="53">
        <f>(S149*$Z$149+S150*$Z$150+S148*Z148+S147*Z147+S146*Z146+S145*Z145+S144*Z144+S143*Z143+S142*Z142+S141*Z141)/$Z$151</f>
        <v>24.245665239720591</v>
      </c>
      <c r="T151" s="53">
        <f>(T149*$Z$149+T150*$Z$150+T148*Z148+T147*Z147+T146*Z146+T145*Z145+T144*Z144+T143*Z143+T142*Z142+T141*Z141)/$Z$151</f>
        <v>24.245665239720591</v>
      </c>
      <c r="U151" s="53">
        <f>(U149*$Z$149+U150*$Z$150+U148*Z148+U147*Z147+U146*Z146+U145*Z145+U144*Z144+U143*Z143+U142*Z142+U141*Z141)/$Z$151</f>
        <v>4.4538978494623649</v>
      </c>
      <c r="V151" s="53">
        <f>(V149*$Z$149+V150*$Z$150+V148*Z148+V147*Z147+V146*Z146+V145*Z145+V144*Z144+V143*Z143+V142*Z142+V141*Z141)/$Z$151</f>
        <v>0</v>
      </c>
      <c r="W151" s="53">
        <f>(W149*$Z$149+W150*$Z$150+W148*Z148+W147*Z147+W146*Z146+W145*Z145+W144*Z144+W143*Z143+W142*Z142+W141*Z141)/$Z$151</f>
        <v>21.225268817204299</v>
      </c>
      <c r="X151" s="53">
        <f>(X149*$Z$149+X150*$Z$150+X148*Z148+X147*Z147+X146*Z146+X145*Z145+X144*Z144+X143*Z143+X142*Z142+X141*Z141)/$Z$151</f>
        <v>0</v>
      </c>
      <c r="Y151" s="178">
        <f>SUM(Y141:Y150)</f>
        <v>94356.005000000005</v>
      </c>
      <c r="Z151" s="179">
        <f>SUM(Z141:Z150)</f>
        <v>250</v>
      </c>
      <c r="AA151" s="179"/>
    </row>
    <row r="152" spans="1:27" ht="13.5" customHeight="1" x14ac:dyDescent="0.2">
      <c r="A152" s="10" t="s">
        <v>123</v>
      </c>
      <c r="B152" s="3" t="s">
        <v>110</v>
      </c>
      <c r="C152" s="3">
        <v>744</v>
      </c>
      <c r="D152" s="18">
        <v>593.70000000000005</v>
      </c>
      <c r="E152" s="18">
        <v>133.32</v>
      </c>
      <c r="F152" s="18">
        <v>16.98</v>
      </c>
      <c r="G152" s="18">
        <v>0</v>
      </c>
      <c r="H152" s="18">
        <v>0</v>
      </c>
      <c r="I152" s="58">
        <f>IF(D152=0,0,IF((L152/D152)&gt;Z152,0,((Z152-(L152/D152))*D152/Z152)))</f>
        <v>16.719720000000063</v>
      </c>
      <c r="K152" s="14"/>
      <c r="L152" s="173">
        <v>14424.507</v>
      </c>
      <c r="M152" s="40">
        <f>D152+E152+F152+G152+H152+K152</f>
        <v>744</v>
      </c>
      <c r="N152" s="10" t="s">
        <v>123</v>
      </c>
      <c r="O152" s="3" t="s">
        <v>110</v>
      </c>
      <c r="P152" s="3">
        <f>C152/$C$5*100</f>
        <v>100</v>
      </c>
      <c r="Q152" s="18">
        <f>(C152-I152)*100/$C$5</f>
        <v>97.752725806451608</v>
      </c>
      <c r="R152" s="5">
        <f>(Y152*100)/($C$5*Z152)</f>
        <v>77.5511129032258</v>
      </c>
      <c r="S152" s="5">
        <f>IF((AND(D152=0,F152=0)),0,F152/(D152+F152)*100)</f>
        <v>2.7805069758302219</v>
      </c>
      <c r="T152" s="5">
        <f>IF((AND(D152=0,F152=0)),0,(F152+I152)/(D152+F152)*100)</f>
        <v>5.5183926115150426</v>
      </c>
      <c r="U152" s="18">
        <f>G152*100/$C$5</f>
        <v>0</v>
      </c>
      <c r="V152" s="18">
        <f>H152*100/$C$5</f>
        <v>0</v>
      </c>
      <c r="W152" s="18">
        <f>F152*100/$C$5</f>
        <v>2.282258064516129</v>
      </c>
      <c r="X152" s="18">
        <f>I152*100/$C$5</f>
        <v>2.2472741935483955</v>
      </c>
      <c r="Y152" s="174">
        <f>L152</f>
        <v>14424.507</v>
      </c>
      <c r="Z152" s="14">
        <v>25</v>
      </c>
      <c r="AA152" s="14">
        <f>Z152*$C$5</f>
        <v>18600</v>
      </c>
    </row>
    <row r="153" spans="1:27" x14ac:dyDescent="0.2">
      <c r="A153" s="11" t="s">
        <v>122</v>
      </c>
      <c r="B153" s="3" t="s">
        <v>111</v>
      </c>
      <c r="C153" s="3">
        <v>744</v>
      </c>
      <c r="D153" s="18">
        <v>610.54999999999995</v>
      </c>
      <c r="E153" s="18">
        <v>133.44999999999999</v>
      </c>
      <c r="F153" s="18">
        <v>0</v>
      </c>
      <c r="G153" s="18">
        <v>0</v>
      </c>
      <c r="H153" s="18">
        <v>0</v>
      </c>
      <c r="I153" s="58">
        <f>IF(D153=0,0,IF((L153/D153)&gt;Z153,0,((Z153-(L153/D153))*D153/Z153)))</f>
        <v>5.7023599999999677</v>
      </c>
      <c r="K153" s="14"/>
      <c r="L153" s="173">
        <v>15121.191000000001</v>
      </c>
      <c r="M153" s="40">
        <f>D153+E153+F153+G153+H153+K153</f>
        <v>744</v>
      </c>
      <c r="N153" s="11" t="s">
        <v>122</v>
      </c>
      <c r="O153" s="3" t="s">
        <v>111</v>
      </c>
      <c r="P153" s="3">
        <f>C153/$C$5*100</f>
        <v>100</v>
      </c>
      <c r="Q153" s="18">
        <f>(C153-I153)*100/$C$5</f>
        <v>99.233553763440852</v>
      </c>
      <c r="R153" s="5">
        <f>(Y153*100)/($C$5*Z153)</f>
        <v>81.296725806451619</v>
      </c>
      <c r="S153" s="5">
        <f>IF((AND(D153=0,F153=0)),0,F153/(D153+F153)*100)</f>
        <v>0</v>
      </c>
      <c r="T153" s="5">
        <f>IF((AND(D153=0,F153=0)),0,(F153+I153)/(D153+F153)*100)</f>
        <v>0.93397100974530645</v>
      </c>
      <c r="U153" s="18">
        <f t="shared" ref="U153:V155" si="87">G153*100/$C$5</f>
        <v>0</v>
      </c>
      <c r="V153" s="18">
        <f t="shared" si="87"/>
        <v>0</v>
      </c>
      <c r="W153" s="18">
        <f>F153*100/$C$5</f>
        <v>0</v>
      </c>
      <c r="X153" s="18">
        <f>I153*100/$C$5</f>
        <v>0.76644623655913546</v>
      </c>
      <c r="Y153" s="174">
        <f>L153</f>
        <v>15121.191000000001</v>
      </c>
      <c r="Z153" s="14">
        <v>25</v>
      </c>
      <c r="AA153" s="14">
        <f>Z153*$C$5</f>
        <v>18600</v>
      </c>
    </row>
    <row r="154" spans="1:27" x14ac:dyDescent="0.2">
      <c r="A154" s="11"/>
      <c r="B154" s="3" t="s">
        <v>112</v>
      </c>
      <c r="C154" s="3">
        <v>744</v>
      </c>
      <c r="D154" s="18">
        <v>588.46</v>
      </c>
      <c r="E154" s="18">
        <v>155.54</v>
      </c>
      <c r="F154" s="18">
        <v>0</v>
      </c>
      <c r="G154" s="18">
        <v>0</v>
      </c>
      <c r="H154" s="18">
        <v>0</v>
      </c>
      <c r="I154" s="58">
        <f>IF(D154=0,0,IF((L154/D154)&gt;Z154,0,((Z154-(L154/D154))*D154/Z154)))</f>
        <v>0</v>
      </c>
      <c r="K154" s="14"/>
      <c r="L154" s="173">
        <v>13068.532999999999</v>
      </c>
      <c r="M154" s="40">
        <f>D154+E154+F154+G154+H154+K154</f>
        <v>744</v>
      </c>
      <c r="N154" s="11"/>
      <c r="O154" s="3" t="s">
        <v>112</v>
      </c>
      <c r="P154" s="3">
        <f>C154/$C$5*100</f>
        <v>100</v>
      </c>
      <c r="Q154" s="18">
        <f>(C154-I154)*100/$C$5</f>
        <v>100</v>
      </c>
      <c r="R154" s="5">
        <f>(Y154*100)/($C$5*Z154)</f>
        <v>87.826162634408604</v>
      </c>
      <c r="S154" s="5">
        <f>IF((AND(D154=0,F154=0)),0,F154/(D154+F154)*100)</f>
        <v>0</v>
      </c>
      <c r="T154" s="5">
        <f>IF((AND(D154=0,F154=0)),0,(F154+I154)/(D154+F154)*100)</f>
        <v>0</v>
      </c>
      <c r="U154" s="18">
        <f t="shared" si="87"/>
        <v>0</v>
      </c>
      <c r="V154" s="18">
        <f t="shared" si="87"/>
        <v>0</v>
      </c>
      <c r="W154" s="18">
        <f>F154*100/$C$5</f>
        <v>0</v>
      </c>
      <c r="X154" s="18">
        <f>I154*100/$C$5</f>
        <v>0</v>
      </c>
      <c r="Y154" s="174">
        <f>L154</f>
        <v>13068.532999999999</v>
      </c>
      <c r="Z154" s="14">
        <v>20</v>
      </c>
      <c r="AA154" s="14">
        <f>Z154*$C$5</f>
        <v>14880</v>
      </c>
    </row>
    <row r="155" spans="1:27" x14ac:dyDescent="0.2">
      <c r="A155" s="11"/>
      <c r="B155" s="3" t="s">
        <v>113</v>
      </c>
      <c r="C155" s="3">
        <v>744</v>
      </c>
      <c r="D155" s="18">
        <v>539.84</v>
      </c>
      <c r="E155" s="18">
        <v>150.05000000000001</v>
      </c>
      <c r="F155" s="18">
        <v>27.73</v>
      </c>
      <c r="G155" s="18">
        <v>26.38</v>
      </c>
      <c r="H155" s="18">
        <v>0</v>
      </c>
      <c r="I155" s="58">
        <f>IF(D155=0,0,IF((L155/D155)&gt;Z155,0,((Z155-(L155/D155))*D155/Z155)))</f>
        <v>0</v>
      </c>
      <c r="K155" s="14"/>
      <c r="L155" s="173">
        <v>10851.37</v>
      </c>
      <c r="M155" s="40">
        <f>D155+E155+F155+G155+H155+K155</f>
        <v>744.00000000000011</v>
      </c>
      <c r="N155" s="11"/>
      <c r="O155" s="3" t="s">
        <v>113</v>
      </c>
      <c r="P155" s="3">
        <f>C155/$C$5*100</f>
        <v>100</v>
      </c>
      <c r="Q155" s="18">
        <f>(C155-I155)*100/$C$5</f>
        <v>100</v>
      </c>
      <c r="R155" s="5">
        <f>(Y155*100)/($C$5*Z155)</f>
        <v>72.925873655913975</v>
      </c>
      <c r="S155" s="5">
        <f>IF((AND(D155=0,F155=0)),0,F155/(D155+F155)*100)</f>
        <v>4.885740965872051</v>
      </c>
      <c r="T155" s="5">
        <f>IF((AND(D155=0,F155=0)),0,(F155+I155)/(D155+F155)*100)</f>
        <v>4.885740965872051</v>
      </c>
      <c r="U155" s="18">
        <f t="shared" si="87"/>
        <v>3.545698924731183</v>
      </c>
      <c r="V155" s="18">
        <f t="shared" si="87"/>
        <v>0</v>
      </c>
      <c r="W155" s="18">
        <f>F155*100/$C$5</f>
        <v>3.7271505376344085</v>
      </c>
      <c r="X155" s="18">
        <f>I155*100/$C$5</f>
        <v>0</v>
      </c>
      <c r="Y155" s="174">
        <f>L155</f>
        <v>10851.37</v>
      </c>
      <c r="Z155" s="14">
        <v>20</v>
      </c>
      <c r="AA155" s="14">
        <f>Z155*$C$5</f>
        <v>14880</v>
      </c>
    </row>
    <row r="156" spans="1:27" ht="14.25" thickBot="1" x14ac:dyDescent="0.25">
      <c r="A156" s="12"/>
      <c r="B156" s="175" t="s">
        <v>92</v>
      </c>
      <c r="C156" s="4">
        <f t="shared" ref="C156:I156" si="88">SUM(C152:C155)</f>
        <v>2976</v>
      </c>
      <c r="D156" s="4">
        <f t="shared" si="88"/>
        <v>2332.5500000000002</v>
      </c>
      <c r="E156" s="4">
        <f t="shared" si="88"/>
        <v>572.3599999999999</v>
      </c>
      <c r="F156" s="4">
        <f t="shared" si="88"/>
        <v>44.71</v>
      </c>
      <c r="G156" s="4">
        <f t="shared" si="88"/>
        <v>26.38</v>
      </c>
      <c r="H156" s="4">
        <f t="shared" si="88"/>
        <v>0</v>
      </c>
      <c r="I156" s="4">
        <f t="shared" si="88"/>
        <v>22.42208000000003</v>
      </c>
      <c r="L156" s="177">
        <f>SUM(L152:L155)</f>
        <v>53465.601000000002</v>
      </c>
      <c r="M156" s="40">
        <f>(D156+E156+F156+G156+H156+K156)/4</f>
        <v>744</v>
      </c>
      <c r="N156" s="12"/>
      <c r="O156" s="175" t="s">
        <v>92</v>
      </c>
      <c r="P156" s="53">
        <f>(P155*Z155+$P$154*Z154+$P$153*Z153+$P$152*Z152)/$Z$156</f>
        <v>100</v>
      </c>
      <c r="Q156" s="53">
        <f>(Q155*Z155+Q154*Z154+Q153*Z153+Q152*Z152)/$Z$156</f>
        <v>99.162855436081244</v>
      </c>
      <c r="R156" s="53">
        <f>(R155*$Z$155+R154*$Z$154+R153*$Z$153+R152*$Z$152)/$Z$156</f>
        <v>79.847074372759849</v>
      </c>
      <c r="S156" s="53">
        <f t="shared" ref="S156:X156" si="89">(S$152*$Z$152+S$153*$Z$153+S$154*$Z$154+S$155*$Z$155)/$Z$156</f>
        <v>1.8580832634799618</v>
      </c>
      <c r="T156" s="53">
        <f t="shared" si="89"/>
        <v>2.8780434427661086</v>
      </c>
      <c r="U156" s="53">
        <f t="shared" si="89"/>
        <v>0.78793309438470738</v>
      </c>
      <c r="V156" s="53">
        <f t="shared" si="89"/>
        <v>0</v>
      </c>
      <c r="W156" s="53">
        <f t="shared" si="89"/>
        <v>1.4622162485065711</v>
      </c>
      <c r="X156" s="53">
        <f t="shared" si="89"/>
        <v>0.83714456391875858</v>
      </c>
      <c r="Y156" s="178">
        <f>SUM(Y152:Y155)</f>
        <v>53465.601000000002</v>
      </c>
      <c r="Z156" s="179">
        <f>SUM(Z152:Z155)</f>
        <v>90</v>
      </c>
      <c r="AA156" s="179">
        <f>SUM(AA152:AA155)</f>
        <v>66960</v>
      </c>
    </row>
    <row r="157" spans="1:27" x14ac:dyDescent="0.2">
      <c r="L157" s="173">
        <f>L156+L151</f>
        <v>147821.606</v>
      </c>
      <c r="M157" s="23"/>
      <c r="Q157" s="3"/>
      <c r="W157" s="3"/>
      <c r="Z157" s="14"/>
    </row>
    <row r="158" spans="1:27" x14ac:dyDescent="0.2">
      <c r="L158" s="180"/>
    </row>
    <row r="159" spans="1:27" x14ac:dyDescent="0.2">
      <c r="L159" s="180"/>
    </row>
    <row r="160" spans="1:27" x14ac:dyDescent="0.2">
      <c r="L160" s="180"/>
    </row>
    <row r="161" spans="12:12" x14ac:dyDescent="0.2">
      <c r="L161" s="180"/>
    </row>
    <row r="162" spans="12:12" x14ac:dyDescent="0.2">
      <c r="L162" s="180"/>
    </row>
    <row r="163" spans="12:12" x14ac:dyDescent="0.2">
      <c r="L163" s="180"/>
    </row>
    <row r="164" spans="12:12" x14ac:dyDescent="0.2">
      <c r="L164" s="180"/>
    </row>
    <row r="165" spans="12:12" x14ac:dyDescent="0.2">
      <c r="L165" s="180"/>
    </row>
    <row r="166" spans="12:12" x14ac:dyDescent="0.2">
      <c r="L166" s="180"/>
    </row>
    <row r="167" spans="12:12" x14ac:dyDescent="0.2">
      <c r="L167" s="180"/>
    </row>
    <row r="168" spans="12:12" x14ac:dyDescent="0.2">
      <c r="L168" s="180"/>
    </row>
    <row r="169" spans="12:12" x14ac:dyDescent="0.2">
      <c r="L169" s="180"/>
    </row>
    <row r="170" spans="12:12" x14ac:dyDescent="0.2">
      <c r="L170" s="180"/>
    </row>
    <row r="171" spans="12:12" x14ac:dyDescent="0.2">
      <c r="L171" s="180"/>
    </row>
    <row r="172" spans="12:12" x14ac:dyDescent="0.2">
      <c r="L172" s="180"/>
    </row>
    <row r="173" spans="12:12" x14ac:dyDescent="0.2">
      <c r="L173" s="180"/>
    </row>
    <row r="174" spans="12:12" x14ac:dyDescent="0.2">
      <c r="L174" s="180"/>
    </row>
    <row r="175" spans="12:12" x14ac:dyDescent="0.2">
      <c r="L175" s="180"/>
    </row>
    <row r="176" spans="12:12" x14ac:dyDescent="0.2">
      <c r="L176" s="180"/>
    </row>
    <row r="177" spans="12:12" x14ac:dyDescent="0.2">
      <c r="L177" s="180"/>
    </row>
    <row r="178" spans="12:12" x14ac:dyDescent="0.2">
      <c r="L178" s="180"/>
    </row>
    <row r="179" spans="12:12" x14ac:dyDescent="0.2">
      <c r="L179" s="180"/>
    </row>
    <row r="180" spans="12:12" x14ac:dyDescent="0.2">
      <c r="L180" s="180"/>
    </row>
    <row r="181" spans="12:12" x14ac:dyDescent="0.2">
      <c r="L181" s="180"/>
    </row>
    <row r="182" spans="12:12" x14ac:dyDescent="0.2">
      <c r="L182" s="180"/>
    </row>
    <row r="183" spans="12:12" x14ac:dyDescent="0.2">
      <c r="L183" s="180"/>
    </row>
    <row r="184" spans="12:12" x14ac:dyDescent="0.2">
      <c r="L184" s="180"/>
    </row>
    <row r="185" spans="12:12" x14ac:dyDescent="0.2">
      <c r="L185" s="180"/>
    </row>
    <row r="186" spans="12:12" x14ac:dyDescent="0.2">
      <c r="L186" s="180"/>
    </row>
    <row r="187" spans="12:12" x14ac:dyDescent="0.2"/>
    <row r="188" spans="12:12" x14ac:dyDescent="0.2"/>
    <row r="189" spans="12:12" x14ac:dyDescent="0.2"/>
    <row r="190" spans="12:12" x14ac:dyDescent="0.2"/>
    <row r="191" spans="12:12" x14ac:dyDescent="0.2"/>
    <row r="192" spans="12:1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</sheetData>
  <customSheetViews>
    <customSheetView guid="{745B3D65-3381-11D2-8DF0-00A024E9CD0E}" showPageBreaks="1" hiddenRows="1" showRuler="0" topLeftCell="Q56">
      <selection activeCell="P55" sqref="P55:AC88"/>
      <pageMargins left="0" right="0" top="0" bottom="0" header="0" footer="0"/>
      <printOptions horizontalCentered="1"/>
      <pageSetup orientation="portrait" horizontalDpi="180" verticalDpi="180" r:id="rId1"/>
      <headerFooter alignWithMargins="0"/>
    </customSheetView>
    <customSheetView guid="{745B3D7A-3381-11D2-8DF0-00A024E9CD0E}" showPageBreaks="1" hiddenRows="1" showRuler="0" topLeftCell="A55">
      <selection activeCell="A55" sqref="A55:K88"/>
      <pageMargins left="0" right="0" top="0" bottom="0" header="0" footer="0"/>
      <printOptions horizontalCentered="1"/>
      <pageSetup orientation="portrait" horizontalDpi="180" verticalDpi="180" r:id="rId2"/>
      <headerFooter alignWithMargins="0"/>
    </customSheetView>
    <customSheetView guid="{745B3D84-3381-11D2-8DF0-00A024E9CD0E}" showPageBreaks="1" hiddenRows="1" showRuler="0" topLeftCell="F50">
      <selection activeCell="A55" sqref="A55:M88"/>
      <pageMargins left="0" right="0" top="0" bottom="0" header="0" footer="0"/>
      <printOptions horizontalCentered="1"/>
      <pageSetup orientation="portrait" horizontalDpi="180" verticalDpi="180" r:id="rId3"/>
      <headerFooter alignWithMargins="0"/>
    </customSheetView>
    <customSheetView guid="{745B3D8D-3381-11D2-8DF0-00A024E9CD0E}" showPageBreaks="1" hiddenRows="1" showRuler="0" topLeftCell="Q233">
      <selection activeCell="P233" sqref="P233:AC253"/>
      <pageMargins left="0" right="0" top="0" bottom="0" header="0" footer="0"/>
      <printOptions horizontalCentered="1"/>
      <pageSetup orientation="portrait" horizontalDpi="180" verticalDpi="180" r:id="rId4"/>
      <headerFooter alignWithMargins="0"/>
    </customSheetView>
    <customSheetView guid="{745B3DA2-3381-11D2-8DF0-00A024E9CD0E}" showPageBreaks="1" hiddenRows="1" showRuler="0" topLeftCell="A231">
      <selection activeCell="A233" sqref="A233:K253"/>
      <pageMargins left="0" right="0" top="0" bottom="0" header="0" footer="0"/>
      <printOptions horizontalCentered="1"/>
      <pageSetup orientation="portrait" horizontalDpi="180" verticalDpi="180" r:id="rId5"/>
      <headerFooter alignWithMargins="0"/>
    </customSheetView>
    <customSheetView guid="{745B3DAC-3381-11D2-8DF0-00A024E9CD0E}" showPageBreaks="1" hiddenRows="1" showRuler="0" topLeftCell="A234">
      <selection activeCell="A233" sqref="A233:M250"/>
      <pageMargins left="0" right="0" top="0" bottom="0" header="0" footer="0"/>
      <printOptions horizontalCentered="1"/>
      <pageSetup orientation="portrait" horizontalDpi="180" verticalDpi="180" r:id="rId6"/>
      <headerFooter alignWithMargins="0"/>
    </customSheetView>
    <customSheetView guid="{745B3DB5-3381-11D2-8DF0-00A024E9CD0E}" showPageBreaks="1" hiddenRows="1" showRuler="0" topLeftCell="AX5">
      <selection activeCell="AX3" sqref="AX3:BG53"/>
      <pageMargins left="0" right="0" top="0" bottom="0" header="0" footer="0"/>
      <printOptions horizontalCentered="1"/>
      <pageSetup orientation="portrait" horizontalDpi="180" verticalDpi="180" r:id="rId7"/>
      <headerFooter alignWithMargins="0"/>
    </customSheetView>
    <customSheetView guid="{745B3DC3-3381-11D2-8DF0-00A024E9CD0E}" showPageBreaks="1" hiddenRows="1" showRuler="0" topLeftCell="AK1">
      <selection activeCell="AL5" sqref="AL5:AS57"/>
      <pageMargins left="0" right="0" top="0" bottom="0" header="0" footer="0"/>
      <printOptions horizontalCentered="1"/>
      <pageSetup orientation="portrait" horizontalDpi="180" verticalDpi="180" r:id="rId8"/>
      <headerFooter alignWithMargins="0"/>
    </customSheetView>
    <customSheetView guid="{745B3DD1-3381-11D2-8DF0-00A024E9CD0E}" showPageBreaks="1" hiddenRows="1" showRuler="0" topLeftCell="P165">
      <selection activeCell="P165" sqref="P165:AC230"/>
      <pageMargins left="0" right="0" top="0" bottom="0" header="0" footer="0"/>
      <printOptions horizontalCentered="1"/>
      <pageSetup orientation="portrait" horizontalDpi="180" verticalDpi="180" r:id="rId9"/>
      <headerFooter alignWithMargins="0"/>
    </customSheetView>
    <customSheetView guid="{745B3DE6-3381-11D2-8DF0-00A024E9CD0E}" showPageBreaks="1" hiddenRows="1" showRuler="0" topLeftCell="A165">
      <selection activeCell="A165" sqref="A165:K230"/>
      <pageMargins left="0" right="0" top="0" bottom="0" header="0" footer="0"/>
      <printOptions horizontalCentered="1"/>
      <pageSetup orientation="portrait" horizontalDpi="180" verticalDpi="180" r:id="rId10"/>
      <headerFooter alignWithMargins="0"/>
    </customSheetView>
    <customSheetView guid="{745B3DF0-3381-11D2-8DF0-00A024E9CD0E}" showPageBreaks="1" hiddenRows="1" showRuler="0" topLeftCell="A209">
      <selection activeCell="A165" sqref="A165:M230"/>
      <pageMargins left="0" right="0" top="0" bottom="0" header="0" footer="0"/>
      <printOptions horizontalCentered="1"/>
      <pageSetup orientation="portrait" horizontalDpi="180" verticalDpi="180" r:id="rId11"/>
      <headerFooter alignWithMargins="0"/>
    </customSheetView>
    <customSheetView guid="{745B3E00-3381-11D2-8DF0-00A024E9CD0E}" showPageBreaks="1" hiddenRows="1" showRuler="0" topLeftCell="Q93">
      <selection activeCell="P93" sqref="P93:AC163"/>
      <pageMargins left="0" right="0" top="0" bottom="0" header="0" footer="0"/>
      <printOptions horizontalCentered="1"/>
      <pageSetup orientation="portrait" horizontalDpi="180" verticalDpi="180" r:id="rId12"/>
      <headerFooter alignWithMargins="0"/>
    </customSheetView>
    <customSheetView guid="{745B3E15-3381-11D2-8DF0-00A024E9CD0E}" showPageBreaks="1" hiddenRows="1" showRuler="0" topLeftCell="A93">
      <selection activeCell="A93" sqref="A93:L163"/>
      <pageMargins left="0" right="0" top="0" bottom="0" header="0" footer="0"/>
      <printOptions horizontalCentered="1"/>
      <pageSetup orientation="portrait" horizontalDpi="180" verticalDpi="180" r:id="rId13"/>
      <headerFooter alignWithMargins="0"/>
    </customSheetView>
    <customSheetView guid="{745B3E1E-3381-11D2-8DF0-00A024E9CD0E}" showPageBreaks="1" hiddenRows="1" showRuler="0" topLeftCell="C143">
      <selection activeCell="A93" sqref="A93:M163"/>
      <pageMargins left="0" right="0" top="0" bottom="0" header="0" footer="0"/>
      <printOptions horizontalCentered="1"/>
      <pageSetup orientation="portrait" horizontalDpi="180" verticalDpi="180" r:id="rId14"/>
      <headerFooter alignWithMargins="0"/>
    </customSheetView>
    <customSheetView guid="{745B3E27-3381-11D2-8DF0-00A024E9CD0E}" showPageBreaks="1" hiddenRows="1" showRuler="0" topLeftCell="P1">
      <selection activeCell="P1" sqref="P1:AC53"/>
      <pageMargins left="0" right="0" top="0" bottom="0" header="0" footer="0"/>
      <printOptions horizontalCentered="1"/>
      <pageSetup orientation="portrait" horizontalDpi="180" verticalDpi="180" r:id="rId15"/>
      <headerFooter alignWithMargins="0"/>
    </customSheetView>
    <customSheetView guid="{745B3E3C-3381-11D2-8DF0-00A024E9CD0E}" showPageBreaks="1" hiddenRows="1" showRuler="0" topLeftCell="A3">
      <selection sqref="A1:K53"/>
      <pageMargins left="0" right="0" top="0" bottom="0" header="0" footer="0"/>
      <printOptions horizontalCentered="1"/>
      <pageSetup orientation="portrait" horizontalDpi="180" verticalDpi="180" r:id="rId16"/>
      <headerFooter alignWithMargins="0"/>
    </customSheetView>
    <customSheetView guid="{745B3E46-3381-11D2-8DF0-00A024E9CD0E}" showPageBreaks="1" hiddenRows="1" showRuler="0" topLeftCell="F30">
      <selection sqref="A1:M53"/>
      <pageMargins left="0" right="0" top="0" bottom="0" header="0" footer="0"/>
      <printOptions horizontalCentered="1"/>
      <pageSetup orientation="portrait" horizontalDpi="180" verticalDpi="180" r:id="rId17"/>
      <headerFooter alignWithMargins="0"/>
    </customSheetView>
  </customSheetViews>
  <mergeCells count="9">
    <mergeCell ref="AD56:AE56"/>
    <mergeCell ref="AD57:AE57"/>
    <mergeCell ref="AH29:AL29"/>
    <mergeCell ref="AD55:AE55"/>
    <mergeCell ref="A2:K2"/>
    <mergeCell ref="A3:K3"/>
    <mergeCell ref="A4:K4"/>
    <mergeCell ref="N2:X2"/>
    <mergeCell ref="N3:X3"/>
  </mergeCells>
  <phoneticPr fontId="0" type="noConversion"/>
  <printOptions horizontalCentered="1" verticalCentered="1"/>
  <pageMargins left="0.1" right="0.1" top="0.5" bottom="0.5" header="0.5" footer="0.5"/>
  <pageSetup scale="73" orientation="portrait" blackAndWhite="1" r:id="rId18"/>
  <headerFooter alignWithMargins="0"/>
  <ignoredErrors>
    <ignoredError sqref="P41:Y41 D72 M63:M78 P63:Z63 P66:Y69 P151:Y151 P90:X90 T119 M41 M151 P72:Y72 P70:Q70 S70:Y70 P71:Q71 S71:Y71 P75:Y75 P73:Q73 S73:Y73 P74:Q74 S74:Y74 P78:Y78 P76:Q76 S76:Y76 P77:Q77 S77:Y77" formula="1"/>
    <ignoredError sqref="C15:D16 J60:J62 J67:J77 E60:E62 J79:J81 E64:E65 I141:I150 I152:I155 D36:D40 I41 D42:D46 I127:I129" unlockedFormula="1"/>
    <ignoredError sqref="B11:B12 B24:D24 B19:C23 O15:O24" numberStoredAsText="1"/>
    <ignoredError sqref="B15:B16 D19:D23" numberStoredAsText="1" unlockedFormula="1"/>
    <ignoredError sqref="J63:J66 J78 E63 I151 D41" formula="1" unlockedFormula="1"/>
    <ignoredError sqref="P81:S81 Q82 T82 U81:X81" evalError="1"/>
    <ignoredError sqref="T81" evalError="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6202C57E8A91488ECE962D63A71F10" ma:contentTypeVersion="26" ma:contentTypeDescription="Create a new document." ma:contentTypeScope="" ma:versionID="23313716397d359a2ceddf1c35ceb662">
  <xsd:schema xmlns:xsd="http://www.w3.org/2001/XMLSchema" xmlns:xs="http://www.w3.org/2001/XMLSchema" xmlns:p="http://schemas.microsoft.com/office/2006/metadata/properties" xmlns:ns2="6bd9865d-c7d0-4288-ab0a-9d4dee1c94e8" xmlns:ns3="80985e37-4d14-49b1-85af-18f353798ba1" targetNamespace="http://schemas.microsoft.com/office/2006/metadata/properties" ma:root="true" ma:fieldsID="a5a29c2beb03b8979d123f2c6dcfed1c" ns2:_="" ns3:_="">
    <xsd:import namespace="6bd9865d-c7d0-4288-ab0a-9d4dee1c94e8"/>
    <xsd:import namespace="80985e37-4d14-49b1-85af-18f353798b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9865d-c7d0-4288-ab0a-9d4dee1c9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76c244-545e-4324-b4dc-13be35ff8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85e37-4d14-49b1-85af-18f353798ba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cfa6364-4a4c-4116-acd5-17595be27265}" ma:internalName="TaxCatchAll" ma:showField="CatchAllData" ma:web="80985e37-4d14-49b1-85af-18f353798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d9865d-c7d0-4288-ab0a-9d4dee1c94e8">
      <Terms xmlns="http://schemas.microsoft.com/office/infopath/2007/PartnerControls"/>
    </lcf76f155ced4ddcb4097134ff3c332f>
    <TaxCatchAll xmlns="80985e37-4d14-49b1-85af-18f353798ba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D1505D-B4D0-4496-9CDE-390296BE9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d9865d-c7d0-4288-ab0a-9d4dee1c94e8"/>
    <ds:schemaRef ds:uri="80985e37-4d14-49b1-85af-18f353798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33858-503D-4EDA-ACEE-5459CC4E1D46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6bd9865d-c7d0-4288-ab0a-9d4dee1c94e8"/>
    <ds:schemaRef ds:uri="80985e37-4d14-49b1-85af-18f353798ba1"/>
  </ds:schemaRefs>
</ds:datastoreItem>
</file>

<file path=customXml/itemProps3.xml><?xml version="1.0" encoding="utf-8"?>
<ds:datastoreItem xmlns:ds="http://schemas.openxmlformats.org/officeDocument/2006/customXml" ds:itemID="{4CC5BDB6-82B1-439B-823C-69002A6AB67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efa4170-0d19-0005-0004-bc88714345d2}" enabled="1" method="Standard" siteId="{31289701-2511-4b48-b59d-bfc969d3a98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DISP_ENE</vt:lpstr>
      <vt:lpstr>DISP_ENE!Print_Area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DISPONIBILIDAD DEL SIST ELECTRICO</dc:title>
  <dc:subject/>
  <dc:creator>R.R.R.</dc:creator>
  <cp:keywords/>
  <dc:description/>
  <cp:lastModifiedBy>Maribel Cruz de Jesús</cp:lastModifiedBy>
  <cp:revision/>
  <cp:lastPrinted>2025-06-06T13:24:57Z</cp:lastPrinted>
  <dcterms:created xsi:type="dcterms:W3CDTF">1999-02-12T18:07:54Z</dcterms:created>
  <dcterms:modified xsi:type="dcterms:W3CDTF">2025-06-06T13:25:20Z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0x010100356202C57E8A91488ECE962D63A71F10</vt:lpwstr>
  </property>
  <property fmtid="{D5CDD505-2E9C-101B-9397-08002B2CF9AE}" pid="3" name="_ip_UnifiedCompliancePolicyUIAction">
    <vt:lpwstr/>
  </property>
  <property fmtid="{D5CDD505-2E9C-101B-9397-08002B2CF9AE}" pid="4" name="_ip_UnifiedCompliancePolicyPropertie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2025-03-31T13:23:11Z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31289701-2511-4b48-b59d-bfc969d3a983</vt:lpwstr>
  </property>
  <property fmtid="{D5CDD505-2E9C-101B-9397-08002B2CF9AE}" pid="10" name="MSIP_Label_defa4170-0d19-0005-0004-bc88714345d2_ActionId">
    <vt:lpwstr>631d4de4-506c-4795-be5f-5220dfc5cf65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SIP_Label_defa4170-0d19-0005-0004-bc88714345d2_Tag">
    <vt:lpwstr>10, 3, 0, 1</vt:lpwstr>
  </property>
</Properties>
</file>