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nerapr.sharepoint.com/sites/GeneraFinancialTeam/Shared Documents/Finance Team Files/Savings Initiatives/Incentives &amp; Penalties Tracker/"/>
    </mc:Choice>
  </mc:AlternateContent>
  <xr:revisionPtr revIDLastSave="40" documentId="8_{6F94CCA0-CEB4-470D-BF63-8D761C243EE2}" xr6:coauthVersionLast="47" xr6:coauthVersionMax="47" xr10:uidLastSave="{BAE99A61-639F-4339-940A-5AD50DDFC583}"/>
  <bookViews>
    <workbookView xWindow="-120" yWindow="-120" windowWidth="29040" windowHeight="15720" tabRatio="783" xr2:uid="{00000000-000D-0000-FFFF-FFFF00000000}"/>
  </bookViews>
  <sheets>
    <sheet name="FY24 Actual Savings" sheetId="10" r:id="rId1"/>
    <sheet name="TM Gens Savings" sheetId="13" state="hidden" r:id="rId2"/>
    <sheet name="Fuel Optimization" sheetId="14" r:id="rId3"/>
    <sheet name="Safety Compliance" sheetId="15" r:id="rId4"/>
    <sheet name="Environmental Compliance" sheetId="16" r:id="rId5"/>
    <sheet name="Reporting Obligations" sheetId="17" r:id="rId6"/>
  </sheets>
  <definedNames>
    <definedName name="_xlnm.Print_Area" localSheetId="0">'FY24 Actual Savings'!$D$1:$H$33</definedName>
    <definedName name="_xlnm.Print_Area" localSheetId="1">'TM Gens Savings'!$A$1:$L$20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5" i="14" l="1"/>
  <c r="D19" i="14"/>
  <c r="D11" i="14"/>
  <c r="G39" i="10" l="1"/>
  <c r="G38" i="10"/>
  <c r="G37" i="10"/>
  <c r="E9" i="17"/>
  <c r="E9" i="16" a="1"/>
  <c r="E9" i="16" s="1"/>
  <c r="E25" i="15" a="1"/>
  <c r="E25" i="15" s="1"/>
  <c r="E17" i="15" a="1"/>
  <c r="E17" i="15" s="1"/>
  <c r="E9" i="15" a="1"/>
  <c r="E9" i="15" s="1"/>
  <c r="G40" i="10" l="1"/>
  <c r="G26" i="10" l="1"/>
  <c r="G25" i="10"/>
  <c r="G24" i="10"/>
  <c r="G23" i="10"/>
  <c r="G22" i="10"/>
  <c r="I145" i="14"/>
  <c r="H145" i="14"/>
  <c r="G145" i="14"/>
  <c r="F145" i="14"/>
  <c r="D143" i="14"/>
  <c r="G141" i="14"/>
  <c r="H141" i="14"/>
  <c r="I141" i="14"/>
  <c r="F141" i="14"/>
  <c r="G137" i="14"/>
  <c r="H137" i="14" s="1"/>
  <c r="I137" i="14" s="1"/>
  <c r="D44" i="14"/>
  <c r="D46" i="14" s="1"/>
  <c r="D130" i="14"/>
  <c r="D134" i="14" s="1"/>
  <c r="D122" i="14"/>
  <c r="D126" i="14" s="1"/>
  <c r="D114" i="14"/>
  <c r="D118" i="14" s="1"/>
  <c r="D106" i="14"/>
  <c r="D110" i="14" s="1"/>
  <c r="D97" i="14"/>
  <c r="D102" i="14" s="1"/>
  <c r="D88" i="14"/>
  <c r="D93" i="14" s="1"/>
  <c r="D80" i="14"/>
  <c r="D84" i="14" s="1"/>
  <c r="D72" i="14"/>
  <c r="D76" i="14" s="1"/>
  <c r="D62" i="14"/>
  <c r="D66" i="14" s="1"/>
  <c r="D54" i="14"/>
  <c r="D58" i="14" s="1"/>
  <c r="D33" i="14"/>
  <c r="D32" i="14"/>
  <c r="D21" i="14"/>
  <c r="D13" i="14"/>
  <c r="D141" i="14" l="1"/>
  <c r="D22" i="14"/>
  <c r="D14" i="14"/>
  <c r="G21" i="10" s="1"/>
  <c r="J22" i="10" s="1"/>
  <c r="D148" i="14" l="1"/>
  <c r="H15" i="10" l="1"/>
  <c r="H14" i="10"/>
  <c r="H12" i="10"/>
  <c r="H11" i="10"/>
  <c r="H10" i="10"/>
  <c r="G15" i="10"/>
  <c r="F13" i="10"/>
  <c r="F16" i="10" s="1"/>
  <c r="E13" i="10"/>
  <c r="G13" i="10" s="1"/>
  <c r="G10" i="10"/>
  <c r="G30" i="10" s="1"/>
  <c r="H13" i="10" l="1"/>
  <c r="E16" i="10"/>
  <c r="H16" i="10" s="1"/>
  <c r="G27" i="10" l="1"/>
  <c r="G11" i="10"/>
  <c r="G12" i="10"/>
  <c r="G14" i="10"/>
  <c r="G16" i="10" s="1"/>
  <c r="J23" i="10" s="1"/>
  <c r="J24" i="10" s="1"/>
  <c r="G29" i="10" l="1"/>
  <c r="G31" i="10" s="1"/>
  <c r="G32" i="10" s="1"/>
  <c r="J25" i="10" l="1"/>
  <c r="J26"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<sst xmlns="http://schemas.openxmlformats.org/spreadsheetml/2006/main" count="220" uniqueCount="128">
  <si>
    <t>Total Savings</t>
  </si>
  <si>
    <t>Total Spot Purchase Volume</t>
  </si>
  <si>
    <t>Generation</t>
  </si>
  <si>
    <t>MWh</t>
  </si>
  <si>
    <t>Operational (O&amp;M) Savings</t>
  </si>
  <si>
    <t>Line Item</t>
  </si>
  <si>
    <t>Non-Labor Expenses</t>
  </si>
  <si>
    <t>Shared Services Agreement</t>
  </si>
  <si>
    <t>NME</t>
  </si>
  <si>
    <t>Fuel Savings</t>
  </si>
  <si>
    <t>FY2024 Incentives &amp; Penalties Summary</t>
  </si>
  <si>
    <t>Initiative</t>
  </si>
  <si>
    <t>Reduce the Fixed Premium for ULSD</t>
  </si>
  <si>
    <t>Actual</t>
  </si>
  <si>
    <t>Fuel Reliability Enhancements for ULSD</t>
  </si>
  <si>
    <t>Reduction of the Fuel Oil Adder</t>
  </si>
  <si>
    <t>Spot Purchase Option for Fuel Oil</t>
  </si>
  <si>
    <t>Spot Purchase Option for ULSD</t>
  </si>
  <si>
    <t>All Figures in Millions</t>
  </si>
  <si>
    <t>From FY24 Budget-to-Actuals Report</t>
  </si>
  <si>
    <t>From FY24 Fuel Optimization Report</t>
  </si>
  <si>
    <t>Genera PR | TM Generation Avoided Fuel Cost Savings</t>
  </si>
  <si>
    <t>Strictly Confidential</t>
  </si>
  <si>
    <t>Generation Cost - ULSD Fleet</t>
  </si>
  <si>
    <t>$/MWh</t>
  </si>
  <si>
    <t>TM Gens Avoided Cost</t>
  </si>
  <si>
    <t>$</t>
  </si>
  <si>
    <t>TM Gens Actual Cost</t>
  </si>
  <si>
    <t>&lt;&lt; TM Generation from March 16 - June 30th</t>
  </si>
  <si>
    <t>&lt;&lt; Avg. Diesel Cost for Ag. CC, Cambalache &amp; Mayaguez</t>
  </si>
  <si>
    <t>Total Labor Operating Expenses</t>
  </si>
  <si>
    <t>FY2024  Budget</t>
  </si>
  <si>
    <t>Variance (%)</t>
  </si>
  <si>
    <t>Variance ($)</t>
  </si>
  <si>
    <t>Total GenCo Operating Expenses</t>
  </si>
  <si>
    <t>Generation Maintenance Reserve Fund</t>
  </si>
  <si>
    <t>Total O&amp;M Expenses Actuals for FY2024</t>
  </si>
  <si>
    <t>FY 2024 Actual Forecast @ 7/23</t>
  </si>
  <si>
    <t>TM Gens Savings</t>
  </si>
  <si>
    <t>(-) Labor Expenses Savings</t>
  </si>
  <si>
    <t>Total Savings:</t>
  </si>
  <si>
    <t>Net Savings:</t>
  </si>
  <si>
    <t>x 50% Incentive:</t>
  </si>
  <si>
    <t>Fuel Optimization - Incentives &amp; Penalties</t>
  </si>
  <si>
    <t>x</t>
  </si>
  <si>
    <t>1. ULSD Fixed Premium Reduction Initiative</t>
  </si>
  <si>
    <t>FY2024</t>
  </si>
  <si>
    <t>Marine ULSD Adder Price</t>
  </si>
  <si>
    <t>ULSD Adder Price</t>
  </si>
  <si>
    <t>Total ULSD Purchased</t>
  </si>
  <si>
    <t>YoY Cost Savings (by unit)</t>
  </si>
  <si>
    <t>Terrestrial ULSD Adder Price</t>
  </si>
  <si>
    <t>2. ULSD Fuel Reliability Enhancements Initiative</t>
  </si>
  <si>
    <t>Second Barge</t>
  </si>
  <si>
    <t>Total Months Out of Service</t>
  </si>
  <si>
    <t>3. Fuel Oil Adder Reduction Initiative</t>
  </si>
  <si>
    <t>Fuel Oil Adder</t>
  </si>
  <si>
    <t>Fuel Oil Adder Saving</t>
  </si>
  <si>
    <t>Total Fuel Oil Purshased</t>
  </si>
  <si>
    <t>4. Fuel Spot Purchase Option Initiative</t>
  </si>
  <si>
    <t>Fuel Oil</t>
  </si>
  <si>
    <t>Actual Fuel Oil Purchases Adder</t>
  </si>
  <si>
    <t>Adder Difference</t>
  </si>
  <si>
    <t>ULSD</t>
  </si>
  <si>
    <t>Actual ULSD Purchases Adder</t>
  </si>
  <si>
    <t>Total Volume</t>
  </si>
  <si>
    <t xml:space="preserve">Total Annual Savings </t>
  </si>
  <si>
    <t>5. TM Gens Savings</t>
  </si>
  <si>
    <t>ULSD Adder Price 2023</t>
  </si>
  <si>
    <t>ULSD Adder Price 2024</t>
  </si>
  <si>
    <t>Monthly Cost for Second Barge 2024</t>
  </si>
  <si>
    <t>Total Months In Service 2023</t>
  </si>
  <si>
    <t>Total Months In Service 2024</t>
  </si>
  <si>
    <t>Fuel Oil Adder Price 2023</t>
  </si>
  <si>
    <t>Fuel Oil Adder Price 2024</t>
  </si>
  <si>
    <t>Fuel Oil Price Normalization for BTU Content 2023</t>
  </si>
  <si>
    <t>Fuel Oil Price Normalization for BTU Content 2024</t>
  </si>
  <si>
    <t>Adder Difference 2024</t>
  </si>
  <si>
    <t>Actual Fuel Oil Purchases Adder 2024</t>
  </si>
  <si>
    <t>TM Gens Avoided Cost (Net Saving)</t>
  </si>
  <si>
    <t>&lt;&lt; From Fuel Actuals</t>
  </si>
  <si>
    <t>Safety Compliance - Incentives &amp; Penalties</t>
  </si>
  <si>
    <t>1. OSHA Lost Time Incidents (LTI)</t>
  </si>
  <si>
    <t>Number of LTI Incidents</t>
  </si>
  <si>
    <t>Incentive / Penalty</t>
  </si>
  <si>
    <t>2. OSHA Recordable Injury or Illness (I&amp;I)</t>
  </si>
  <si>
    <t>Number of I&amp;I Incidents</t>
  </si>
  <si>
    <t>3. OSHA Fatality or Severe Injury</t>
  </si>
  <si>
    <t>Num. Fatalities/Severe Injuries</t>
  </si>
  <si>
    <t>Safety Compliance</t>
  </si>
  <si>
    <t>Operator shall receive an O&amp;M Incentive Payment based on its performance for each Contract Year with respect to the safety compliance targets described below, which, for the avoidance of doubt, shall also include the performance of O&amp;M Services by Operator’s subcontractors.</t>
  </si>
  <si>
    <t>OSHA Lost Time Incidents (LTI)</t>
  </si>
  <si>
    <t>Incentives / Penalties</t>
  </si>
  <si>
    <t>3 or less</t>
  </si>
  <si>
    <t>Operator receives an Incentive Payment of US$10,000</t>
  </si>
  <si>
    <t>Operator receives an Incentive Payment of US$5,000</t>
  </si>
  <si>
    <t>&gt;5</t>
  </si>
  <si>
    <t>Operator pays a Penalty of US$100,000</t>
  </si>
  <si>
    <t>OSHA Recordable Injury or Illness (I&amp;I)</t>
  </si>
  <si>
    <t>Between 1 and 3</t>
  </si>
  <si>
    <t>&gt;3</t>
  </si>
  <si>
    <t>OSHA Fatality or Severe Injury</t>
  </si>
  <si>
    <t>Number of Fatalities or Severe Injuries</t>
  </si>
  <si>
    <t>≥1</t>
  </si>
  <si>
    <t>*For each Contract Year, the maximum aggregate O&amp;M Incentive Payment payable to Operator shall be subject to the Annual Incentive Cap and the maximum aggregate O&amp;M Penalty that Operator may incur shall be US$100,000.</t>
  </si>
  <si>
    <t>Environmental Compliance - Incentives &amp; Penalties</t>
  </si>
  <si>
    <t>1. Violation of Consent Decrees and/or Notice of Violations (NOVs)</t>
  </si>
  <si>
    <t>Number of Violations or NOVs</t>
  </si>
  <si>
    <t>Environmental Compliance</t>
  </si>
  <si>
    <t>Operator shall receive an O&amp;M Incentive Payment based on its performance with respect to the environmental target</t>
  </si>
  <si>
    <t>Violation of Consent Decrees and/or Notice of Violations (NOVs)</t>
  </si>
  <si>
    <t>Operator pays a Penalty of US$25,000 (for each violation)</t>
  </si>
  <si>
    <t>*For each Contract Year, the maximum aggregate O&amp;M Incentive Payment payable to Operator shall be US$100,000 and the maximum aggregate O&amp;M Penalty that Operator may incur shall be US$100,000.</t>
  </si>
  <si>
    <t>Reporting Obligations - Incentives &amp; Penalties</t>
  </si>
  <si>
    <t>1. Reporting Obligations</t>
  </si>
  <si>
    <t># of  fifteen sequential days</t>
  </si>
  <si>
    <t>Penalty</t>
  </si>
  <si>
    <t>Reporting Obligations</t>
  </si>
  <si>
    <r>
      <t xml:space="preserve">Between 3 and 5 </t>
    </r>
    <r>
      <rPr>
        <sz val="11"/>
        <color rgb="FFFF0000"/>
        <rFont val="Poppins"/>
      </rPr>
      <t>(4&amp;5)</t>
    </r>
  </si>
  <si>
    <r>
      <t>Operator shall be subject to a charge based on its timeliness in responding to a reasonable request for information from Administrator. For every fifteen (15) sequential days during which Operator fails to provide a response to Administrator, Operator shall pay a penalty of US</t>
    </r>
    <r>
      <rPr>
        <b/>
        <i/>
        <sz val="11"/>
        <color theme="1"/>
        <rFont val="Poppins"/>
      </rPr>
      <t>$100,000</t>
    </r>
    <r>
      <rPr>
        <i/>
        <sz val="11"/>
        <color theme="1"/>
        <rFont val="Poppins"/>
      </rPr>
      <t xml:space="preserve"> (the “Reporting Obligation Charge”). For each Contract Year, the maximum aggregate Reporting Obligation Charge that Operator may incur shall be US</t>
    </r>
    <r>
      <rPr>
        <b/>
        <i/>
        <sz val="11"/>
        <color theme="1"/>
        <rFont val="Poppins"/>
      </rPr>
      <t>$1 million</t>
    </r>
    <r>
      <rPr>
        <i/>
        <sz val="11"/>
        <color theme="1"/>
        <rFont val="Poppins"/>
      </rPr>
      <t>, and in each case which shall be subject to Pro Rata reduction following any O&amp;M Fixed Fee Adjustment, and in each case which shall be subject to Pro Rata reduction following any O&amp;M Fixed Fee Adjustment.</t>
    </r>
  </si>
  <si>
    <t>Category</t>
  </si>
  <si>
    <t>Total Penalty</t>
  </si>
  <si>
    <t>Other Measured Categories</t>
  </si>
  <si>
    <t>O&amp;M Savings</t>
  </si>
  <si>
    <t>Constraint 100% until further discussion with PREB/P3A</t>
  </si>
  <si>
    <t>Q2 Incentive to be recognized</t>
  </si>
  <si>
    <t>Total Incentive Calculation Submitted</t>
  </si>
  <si>
    <t>As of 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</si>
</sst>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0.0_)_%;\([$$]#,##0.0\)_%;_(&quot;–&quot;_)_%;_(@_)_%"/>
    <numFmt numFmtId="165" formatCode="_(* #,##0_);_(* \(#,##0\);_(* &quot;-&quot;??_);_(@_)"/>
    <numFmt numFmtId="166" formatCode="_([$$]#,##0.00_)_%;\([$$]#,##0.00\)_%;_(&quot;–&quot;_)_%;_(@_)_%"/>
    <numFmt numFmtId="167" formatCode="&quot;$&quot;#,##0.00"/>
    <numFmt numFmtId="168" formatCode="&quot;$&quot;#,##0"/>
    <numFmt numFmtId="169" formatCode="_(#,##0%_);\(#,##0%\);_(&quot;–&quot;_)_%;_(@_)_%"/>
    <numFmt numFmtId="170" formatCode="[$$-380A]\ #,##0.00;\-[$$-380A]\ #,##0.00"/>
    <numFmt numFmtId="171" formatCode="&quot;$&quot;#,###"/>
    <numFmt numFmtId="172" formatCode="[$$-380A]\ #,##0.0;\-[$$-380A]\ #,##0.0"/>
  </numFmts>
  <fonts count="42" x14ac:knownFonts="1">
    <font>
      <sz val="11"/>
      <color theme="1"/>
      <name val="Calibri"/>
      <family val="2"/>
      <scheme val="minor"/>
    </font>
    <font>
      <sz val="10"/>
      <name val="Arial"/>
      <family val="2"/>
    </font>
    <font>
      <sz val="10"/>
      <color theme="1"/>
      <name val="Calibri"/>
      <family val="2"/>
      <scheme val="minor"/>
    </font>
    <font>
      <sz val="11"/>
      <color theme="1"/>
      <name val="Poppins"/>
    </font>
    <font>
      <b/>
      <sz val="12"/>
      <color theme="1"/>
      <name val="Poppins"/>
    </font>
    <font>
      <sz val="12"/>
      <color theme="1"/>
      <name val="Poppins"/>
    </font>
    <font>
      <b/>
      <sz val="11"/>
      <color theme="1"/>
      <name val="Poppins"/>
    </font>
    <font>
      <sz val="11"/>
      <color theme="1"/>
      <name val="Calibri"/>
      <family val="2"/>
      <scheme val="minor"/>
    </font>
    <font>
      <sz val="10"/>
      <color theme="1"/>
      <name val="Arial"/>
      <family val="2"/>
    </font>
    <font>
      <i/>
      <sz val="11"/>
      <color theme="1" tint="0.499984740745262"/>
      <name val="Calibri"/>
      <family val="2"/>
      <scheme val="minor"/>
    </font>
    <font>
      <sz val="10"/>
      <name val="Calibri"/>
      <family val="2"/>
    </font>
    <font>
      <b/>
      <sz val="16"/>
      <name val="Calibri"/>
      <family val="2"/>
      <scheme val="minor"/>
    </font>
    <font>
      <i/>
      <sz val="10"/>
      <name val="Calibri"/>
      <family val="2"/>
    </font>
    <font>
      <i/>
      <sz val="10"/>
      <color theme="1" tint="0.499984740745262"/>
      <name val="Calibri"/>
      <family val="2"/>
      <scheme val="minor"/>
    </font>
    <font>
      <b/>
      <sz val="10"/>
      <color theme="1"/>
      <name val="Calibri"/>
      <family val="2"/>
      <scheme val="minor"/>
    </font>
    <font>
      <b/>
      <sz val="10"/>
      <color theme="1"/>
      <name val="Arial"/>
      <family val="2"/>
    </font>
    <font>
      <i/>
      <sz val="8"/>
      <color theme="0" tint="-0.34998626667073579"/>
      <name val="Poppins"/>
    </font>
    <font>
      <sz val="12"/>
      <color rgb="FF0000FF"/>
      <name val="Poppins"/>
    </font>
    <font>
      <b/>
      <i/>
      <u/>
      <sz val="12"/>
      <color theme="1"/>
      <name val="Poppins"/>
    </font>
    <font>
      <i/>
      <sz val="11"/>
      <color theme="0" tint="-0.34998626667073579"/>
      <name val="Poppins"/>
    </font>
    <font>
      <b/>
      <sz val="12"/>
      <color theme="0"/>
      <name val="Poppins"/>
    </font>
    <font>
      <sz val="12"/>
      <color theme="0"/>
      <name val="Poppins"/>
    </font>
    <font>
      <b/>
      <sz val="12"/>
      <name val="Poppins"/>
    </font>
    <font>
      <sz val="12"/>
      <color rgb="FF008000"/>
      <name val="Poppins"/>
    </font>
    <font>
      <sz val="12"/>
      <color rgb="FF00B050"/>
      <name val="Poppins"/>
    </font>
    <font>
      <b/>
      <sz val="11"/>
      <color theme="0"/>
      <name val="Poppins"/>
    </font>
    <font>
      <sz val="11"/>
      <name val="Poppins"/>
    </font>
    <font>
      <b/>
      <sz val="11"/>
      <name val="Poppins"/>
    </font>
    <font>
      <b/>
      <i/>
      <sz val="26"/>
      <color theme="1"/>
      <name val="Poppins"/>
    </font>
    <font>
      <i/>
      <sz val="9"/>
      <color rgb="FF0000FF"/>
      <name val="Poppins"/>
    </font>
    <font>
      <b/>
      <u/>
      <sz val="11"/>
      <color theme="1"/>
      <name val="Poppins"/>
    </font>
    <font>
      <sz val="11"/>
      <color rgb="FF0000FF"/>
      <name val="Poppins"/>
    </font>
    <font>
      <sz val="10"/>
      <color theme="1"/>
      <name val="Poppins"/>
    </font>
    <font>
      <i/>
      <sz val="10"/>
      <color theme="1"/>
      <name val="Poppins"/>
    </font>
    <font>
      <b/>
      <i/>
      <sz val="10"/>
      <color theme="1"/>
      <name val="Poppins"/>
    </font>
    <font>
      <b/>
      <i/>
      <sz val="18"/>
      <color theme="1"/>
      <name val="Poppins"/>
    </font>
    <font>
      <b/>
      <i/>
      <sz val="12"/>
      <color theme="1"/>
      <name val="Poppins"/>
    </font>
    <font>
      <b/>
      <i/>
      <sz val="16"/>
      <color theme="1"/>
      <name val="Poppins"/>
    </font>
    <font>
      <i/>
      <sz val="9"/>
      <color theme="1"/>
      <name val="Poppins"/>
    </font>
    <font>
      <i/>
      <sz val="11"/>
      <color theme="1"/>
      <name val="Poppins"/>
    </font>
    <font>
      <sz val="11"/>
      <color rgb="FFFF0000"/>
      <name val="Poppins"/>
    </font>
    <font>
      <b/>
      <i/>
      <sz val="11"/>
      <color theme="1"/>
      <name val="Poppins"/>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A5CF"/>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A3CF"/>
        <bgColor indexed="64"/>
      </patternFill>
    </fill>
    <fill>
      <patternFill patternType="solid">
        <fgColor theme="0" tint="-4.9989318521683403E-2"/>
        <bgColor indexed="64"/>
      </patternFill>
    </fill>
    <fill>
      <patternFill patternType="solid">
        <fgColor rgb="FFFDADA9"/>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s>
  <cellStyleXfs count="7">
    <xf numFmtId="0" fontId="0" fillId="0" borderId="0"/>
    <xf numFmtId="0" fontId="1"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7" fillId="0" borderId="0" applyFont="0" applyFill="0" applyBorder="0" applyAlignment="0" applyProtection="0"/>
  </cellStyleXfs>
  <cellXfs count="170">
    <xf numFmtId="0" fontId="0" fillId="0" borderId="0" xfId="0"/>
    <xf numFmtId="0" fontId="3" fillId="0" borderId="0" xfId="3" applyFont="1"/>
    <xf numFmtId="0" fontId="9" fillId="0" borderId="0" xfId="3" applyFont="1"/>
    <xf numFmtId="0" fontId="8" fillId="0" borderId="0" xfId="3"/>
    <xf numFmtId="0" fontId="10" fillId="0" borderId="0" xfId="3" applyFont="1" applyAlignment="1">
      <alignment vertical="center"/>
    </xf>
    <xf numFmtId="0" fontId="11" fillId="0" borderId="5" xfId="3" applyFont="1" applyBorder="1"/>
    <xf numFmtId="0" fontId="10" fillId="0" borderId="5" xfId="3" applyFont="1" applyBorder="1" applyAlignment="1">
      <alignment vertical="center"/>
    </xf>
    <xf numFmtId="0" fontId="12" fillId="0" borderId="5" xfId="3" applyFont="1" applyBorder="1" applyAlignment="1">
      <alignment horizontal="right" vertical="center"/>
    </xf>
    <xf numFmtId="0" fontId="12" fillId="0" borderId="5" xfId="3" applyFont="1" applyBorder="1" applyAlignment="1">
      <alignment horizontal="right"/>
    </xf>
    <xf numFmtId="0" fontId="13" fillId="0" borderId="0" xfId="3" applyFont="1" applyAlignment="1">
      <alignment vertical="center"/>
    </xf>
    <xf numFmtId="0" fontId="6"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3" fillId="0" borderId="0" xfId="3" applyFont="1" applyAlignment="1">
      <alignment vertical="center"/>
    </xf>
    <xf numFmtId="0" fontId="2" fillId="0" borderId="0" xfId="3" applyFont="1" applyAlignment="1">
      <alignment vertical="center"/>
    </xf>
    <xf numFmtId="0" fontId="8" fillId="0" borderId="0" xfId="3" applyAlignment="1">
      <alignment vertical="center"/>
    </xf>
    <xf numFmtId="0" fontId="2" fillId="0" borderId="0" xfId="3" applyFont="1"/>
    <xf numFmtId="0" fontId="15" fillId="0" borderId="0" xfId="3" applyFont="1"/>
    <xf numFmtId="0" fontId="14" fillId="0" borderId="0" xfId="3" applyFont="1"/>
    <xf numFmtId="0" fontId="13" fillId="0" borderId="0" xfId="3" applyFont="1"/>
    <xf numFmtId="0" fontId="8" fillId="0" borderId="0" xfId="3" applyAlignment="1">
      <alignment horizontal="center"/>
    </xf>
    <xf numFmtId="0" fontId="5" fillId="0" borderId="0" xfId="0" applyFont="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0" fillId="4" borderId="1" xfId="0" applyFont="1" applyFill="1" applyBorder="1" applyAlignment="1">
      <alignment horizontal="center" vertical="top"/>
    </xf>
    <xf numFmtId="0" fontId="20" fillId="4" borderId="7" xfId="0" applyFont="1" applyFill="1" applyBorder="1" applyAlignment="1">
      <alignment horizontal="center" vertical="top"/>
    </xf>
    <xf numFmtId="0" fontId="21" fillId="0" borderId="0" xfId="0" applyFont="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164" fontId="4" fillId="0" borderId="7" xfId="0" applyNumberFormat="1" applyFont="1" applyBorder="1" applyAlignment="1">
      <alignment horizontal="center"/>
    </xf>
    <xf numFmtId="164" fontId="22" fillId="5" borderId="9" xfId="0" applyNumberFormat="1" applyFont="1" applyFill="1" applyBorder="1" applyAlignment="1">
      <alignment horizontal="center"/>
    </xf>
    <xf numFmtId="0" fontId="5" fillId="0" borderId="0" xfId="0" applyFont="1"/>
    <xf numFmtId="0" fontId="20" fillId="4" borderId="8" xfId="0" applyFont="1" applyFill="1" applyBorder="1" applyAlignment="1">
      <alignment horizontal="center" vertical="top"/>
    </xf>
    <xf numFmtId="164" fontId="17" fillId="2" borderId="8" xfId="0" applyNumberFormat="1" applyFont="1" applyFill="1" applyBorder="1" applyAlignment="1">
      <alignment horizontal="center"/>
    </xf>
    <xf numFmtId="166" fontId="23" fillId="0" borderId="4" xfId="0" applyNumberFormat="1" applyFont="1" applyBorder="1" applyAlignment="1">
      <alignment horizontal="center"/>
    </xf>
    <xf numFmtId="164" fontId="24" fillId="2" borderId="0" xfId="0" applyNumberFormat="1" applyFont="1" applyFill="1" applyAlignment="1">
      <alignment horizontal="center"/>
    </xf>
    <xf numFmtId="166" fontId="23" fillId="0" borderId="3" xfId="0" applyNumberFormat="1" applyFont="1" applyBorder="1" applyAlignment="1">
      <alignment horizontal="center"/>
    </xf>
    <xf numFmtId="0" fontId="4" fillId="0" borderId="6" xfId="0" applyFont="1" applyBorder="1" applyAlignment="1">
      <alignment horizontal="center" vertical="center"/>
    </xf>
    <xf numFmtId="164" fontId="22" fillId="6" borderId="9" xfId="0" applyNumberFormat="1" applyFont="1" applyFill="1" applyBorder="1" applyAlignment="1">
      <alignment horizontal="center"/>
    </xf>
    <xf numFmtId="0" fontId="25" fillId="4" borderId="1" xfId="0" applyFont="1" applyFill="1" applyBorder="1" applyAlignment="1">
      <alignment horizontal="center" vertical="center"/>
    </xf>
    <xf numFmtId="0" fontId="25" fillId="4" borderId="7" xfId="0" applyFont="1" applyFill="1" applyBorder="1" applyAlignment="1">
      <alignment horizontal="center" vertical="center" wrapText="1"/>
    </xf>
    <xf numFmtId="0" fontId="3" fillId="0" borderId="4" xfId="0" applyFont="1" applyBorder="1" applyAlignment="1">
      <alignment vertical="center"/>
    </xf>
    <xf numFmtId="0" fontId="3" fillId="0" borderId="3" xfId="0" applyFont="1" applyBorder="1" applyAlignment="1">
      <alignment vertical="center"/>
    </xf>
    <xf numFmtId="0" fontId="3" fillId="7" borderId="1" xfId="0" applyFont="1" applyFill="1" applyBorder="1" applyAlignment="1">
      <alignment vertical="center"/>
    </xf>
    <xf numFmtId="0" fontId="6" fillId="5" borderId="11" xfId="0" applyFont="1" applyFill="1" applyBorder="1" applyAlignment="1">
      <alignment horizontal="center" vertical="center"/>
    </xf>
    <xf numFmtId="166" fontId="26" fillId="0" borderId="0" xfId="0" applyNumberFormat="1" applyFont="1" applyAlignment="1">
      <alignment horizontal="center" vertical="center"/>
    </xf>
    <xf numFmtId="166" fontId="26" fillId="0" borderId="3" xfId="0" applyNumberFormat="1" applyFont="1" applyBorder="1" applyAlignment="1">
      <alignment horizontal="center" vertical="center"/>
    </xf>
    <xf numFmtId="169" fontId="26" fillId="0" borderId="3" xfId="0" applyNumberFormat="1" applyFont="1" applyBorder="1" applyAlignment="1">
      <alignment horizontal="center" vertical="center"/>
    </xf>
    <xf numFmtId="166" fontId="26" fillId="7" borderId="7" xfId="0" applyNumberFormat="1" applyFont="1" applyFill="1" applyBorder="1" applyAlignment="1">
      <alignment horizontal="center" vertical="center"/>
    </xf>
    <xf numFmtId="166" fontId="26" fillId="7" borderId="1" xfId="0" applyNumberFormat="1" applyFont="1" applyFill="1" applyBorder="1" applyAlignment="1">
      <alignment horizontal="center" vertical="center"/>
    </xf>
    <xf numFmtId="169" fontId="26" fillId="7" borderId="1" xfId="0" applyNumberFormat="1" applyFont="1" applyFill="1" applyBorder="1" applyAlignment="1">
      <alignment horizontal="center" vertical="center"/>
    </xf>
    <xf numFmtId="164" fontId="6" fillId="5" borderId="12" xfId="0" applyNumberFormat="1" applyFont="1" applyFill="1" applyBorder="1" applyAlignment="1">
      <alignment horizontal="center" vertical="center"/>
    </xf>
    <xf numFmtId="164" fontId="27" fillId="5" borderId="12" xfId="0" applyNumberFormat="1" applyFont="1" applyFill="1" applyBorder="1" applyAlignment="1">
      <alignment horizontal="center" vertical="center"/>
    </xf>
    <xf numFmtId="169" fontId="27" fillId="5" borderId="10" xfId="0" applyNumberFormat="1" applyFont="1" applyFill="1" applyBorder="1" applyAlignment="1">
      <alignment horizontal="center" vertical="center"/>
    </xf>
    <xf numFmtId="170" fontId="5" fillId="0" borderId="0" xfId="0" applyNumberFormat="1" applyFont="1"/>
    <xf numFmtId="6" fontId="5" fillId="0" borderId="0" xfId="0" applyNumberFormat="1" applyFont="1"/>
    <xf numFmtId="170" fontId="3" fillId="0" borderId="0" xfId="0" applyNumberFormat="1" applyFont="1"/>
    <xf numFmtId="0" fontId="5" fillId="0" borderId="0" xfId="0" applyFont="1" applyAlignment="1">
      <alignment horizontal="right"/>
    </xf>
    <xf numFmtId="0" fontId="5" fillId="0" borderId="0" xfId="0" quotePrefix="1" applyFont="1" applyAlignment="1">
      <alignment horizontal="right"/>
    </xf>
    <xf numFmtId="5" fontId="5" fillId="0" borderId="0" xfId="0" applyNumberFormat="1" applyFont="1" applyAlignment="1">
      <alignment vertical="center"/>
    </xf>
    <xf numFmtId="7" fontId="5" fillId="0" borderId="0" xfId="0" applyNumberFormat="1" applyFont="1" applyAlignment="1">
      <alignment vertical="center"/>
    </xf>
    <xf numFmtId="0" fontId="3" fillId="0" borderId="0" xfId="0" applyFont="1" applyAlignment="1">
      <alignment horizontal="center" vertical="center"/>
    </xf>
    <xf numFmtId="0" fontId="28" fillId="0" borderId="5" xfId="0" applyFont="1" applyBorder="1" applyAlignment="1">
      <alignment vertical="center"/>
    </xf>
    <xf numFmtId="0" fontId="28" fillId="0" borderId="5" xfId="0" applyFont="1" applyBorder="1" applyAlignment="1">
      <alignment horizontal="center" vertical="center"/>
    </xf>
    <xf numFmtId="0" fontId="3" fillId="0" borderId="0" xfId="0" applyFont="1" applyAlignment="1">
      <alignment vertical="center"/>
    </xf>
    <xf numFmtId="0" fontId="30" fillId="0" borderId="0" xfId="0" applyFont="1" applyAlignment="1">
      <alignment horizontal="center" vertical="center"/>
    </xf>
    <xf numFmtId="0" fontId="25" fillId="8" borderId="0" xfId="0" applyFont="1" applyFill="1" applyAlignment="1">
      <alignment horizontal="left" vertical="center"/>
    </xf>
    <xf numFmtId="0" fontId="25" fillId="8" borderId="0" xfId="0" applyFont="1" applyFill="1" applyAlignment="1">
      <alignment horizontal="center" vertical="center"/>
    </xf>
    <xf numFmtId="5" fontId="31" fillId="0" borderId="0" xfId="2" applyNumberFormat="1" applyFont="1" applyAlignment="1">
      <alignment horizontal="center" vertical="center"/>
    </xf>
    <xf numFmtId="3" fontId="31" fillId="0" borderId="0" xfId="2" applyNumberFormat="1" applyFont="1" applyAlignment="1">
      <alignment horizontal="center" vertical="center"/>
    </xf>
    <xf numFmtId="7" fontId="31" fillId="0" borderId="0" xfId="2" applyNumberFormat="1" applyFont="1" applyAlignment="1">
      <alignment horizontal="center" vertical="center"/>
    </xf>
    <xf numFmtId="7" fontId="3" fillId="0" borderId="0" xfId="2" applyNumberFormat="1" applyFont="1" applyAlignment="1">
      <alignment horizontal="center" vertical="center"/>
    </xf>
    <xf numFmtId="4" fontId="31" fillId="0" borderId="0" xfId="2" applyNumberFormat="1" applyFont="1" applyAlignment="1">
      <alignment horizontal="center" vertical="center"/>
    </xf>
    <xf numFmtId="16" fontId="25" fillId="8" borderId="0" xfId="0" applyNumberFormat="1" applyFont="1" applyFill="1" applyAlignment="1">
      <alignment horizontal="center" vertical="center"/>
    </xf>
    <xf numFmtId="165" fontId="31" fillId="0" borderId="0" xfId="2" applyNumberFormat="1" applyFont="1" applyAlignment="1">
      <alignment horizontal="center" vertical="center"/>
    </xf>
    <xf numFmtId="167" fontId="31" fillId="0" borderId="13" xfId="2" applyNumberFormat="1" applyFont="1" applyBorder="1" applyAlignment="1">
      <alignment vertical="center"/>
    </xf>
    <xf numFmtId="168" fontId="27" fillId="0" borderId="0" xfId="2" applyNumberFormat="1" applyFont="1" applyBorder="1" applyAlignment="1">
      <alignment horizontal="center" vertical="center"/>
    </xf>
    <xf numFmtId="168" fontId="26" fillId="0" borderId="0" xfId="2" applyNumberFormat="1" applyFont="1" applyBorder="1" applyAlignment="1">
      <alignment vertical="center"/>
    </xf>
    <xf numFmtId="6" fontId="31" fillId="0" borderId="0" xfId="5" applyNumberFormat="1" applyFont="1" applyFill="1" applyBorder="1" applyAlignment="1">
      <alignment vertical="center"/>
    </xf>
    <xf numFmtId="0" fontId="35" fillId="0" borderId="5" xfId="0" applyFont="1" applyBorder="1" applyAlignment="1">
      <alignment vertical="center"/>
    </xf>
    <xf numFmtId="0" fontId="5" fillId="3" borderId="0" xfId="0" applyFont="1" applyFill="1"/>
    <xf numFmtId="0" fontId="5" fillId="3" borderId="0" xfId="0" applyFont="1" applyFill="1" applyAlignment="1">
      <alignment vertical="center"/>
    </xf>
    <xf numFmtId="0" fontId="36" fillId="0" borderId="5" xfId="0" applyFont="1" applyBorder="1" applyAlignment="1">
      <alignment vertical="center"/>
    </xf>
    <xf numFmtId="0" fontId="21"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35" fillId="0" borderId="5" xfId="0" applyFont="1" applyBorder="1" applyAlignment="1">
      <alignment horizontal="left"/>
    </xf>
    <xf numFmtId="0" fontId="3" fillId="8" borderId="0" xfId="0" applyFont="1" applyFill="1" applyAlignment="1">
      <alignment vertical="center"/>
    </xf>
    <xf numFmtId="0" fontId="3" fillId="0" borderId="0" xfId="0" applyFont="1" applyAlignment="1">
      <alignment horizontal="left" vertical="center"/>
    </xf>
    <xf numFmtId="0" fontId="30" fillId="0" borderId="0" xfId="0" applyFont="1" applyAlignment="1">
      <alignment horizontal="left" vertical="center"/>
    </xf>
    <xf numFmtId="7" fontId="31" fillId="0" borderId="0" xfId="0" applyNumberFormat="1" applyFont="1" applyAlignment="1">
      <alignment horizontal="center" vertical="center"/>
    </xf>
    <xf numFmtId="7" fontId="3" fillId="0" borderId="0" xfId="0" applyNumberFormat="1" applyFont="1" applyAlignment="1">
      <alignment horizontal="center" vertical="center"/>
    </xf>
    <xf numFmtId="0" fontId="6" fillId="9" borderId="0" xfId="0" applyFont="1" applyFill="1" applyAlignment="1">
      <alignment horizontal="left" vertical="center"/>
    </xf>
    <xf numFmtId="0" fontId="6" fillId="9" borderId="0" xfId="0" applyFont="1" applyFill="1" applyAlignment="1">
      <alignment vertical="center"/>
    </xf>
    <xf numFmtId="5" fontId="6" fillId="9" borderId="0" xfId="0" applyNumberFormat="1" applyFont="1" applyFill="1" applyAlignment="1">
      <alignment horizontal="center" vertical="center"/>
    </xf>
    <xf numFmtId="5" fontId="3" fillId="0" borderId="0" xfId="0" applyNumberFormat="1" applyFont="1" applyAlignment="1">
      <alignment horizontal="center" vertical="center"/>
    </xf>
    <xf numFmtId="3" fontId="3" fillId="0" borderId="0" xfId="0" applyNumberFormat="1" applyFont="1" applyAlignment="1">
      <alignment horizontal="center" vertical="center"/>
    </xf>
    <xf numFmtId="5" fontId="3" fillId="0" borderId="0" xfId="0" applyNumberFormat="1"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9" fontId="31" fillId="0" borderId="0" xfId="0" applyNumberFormat="1" applyFont="1" applyAlignment="1">
      <alignment horizontal="center" vertical="center"/>
    </xf>
    <xf numFmtId="0" fontId="6" fillId="0" borderId="0" xfId="0" applyFont="1" applyAlignment="1">
      <alignment horizontal="left" vertical="center"/>
    </xf>
    <xf numFmtId="0" fontId="34" fillId="0" borderId="0" xfId="0" applyFont="1" applyAlignment="1">
      <alignment horizontal="left" vertical="center"/>
    </xf>
    <xf numFmtId="0" fontId="34" fillId="9" borderId="0" xfId="0" applyFont="1" applyFill="1" applyAlignment="1">
      <alignment horizontal="left" vertical="center"/>
    </xf>
    <xf numFmtId="0" fontId="3" fillId="9" borderId="0" xfId="0" applyFont="1" applyFill="1" applyAlignment="1">
      <alignment horizontal="center" vertical="center"/>
    </xf>
    <xf numFmtId="5" fontId="3" fillId="9" borderId="0" xfId="0" applyNumberFormat="1" applyFont="1" applyFill="1" applyAlignment="1">
      <alignment horizontal="right" vertical="center"/>
    </xf>
    <xf numFmtId="0" fontId="27" fillId="2" borderId="6" xfId="0" applyFont="1" applyFill="1" applyBorder="1" applyAlignment="1">
      <alignment horizontal="left" vertical="center"/>
    </xf>
    <xf numFmtId="0" fontId="27" fillId="2" borderId="7" xfId="0" applyFont="1" applyFill="1" applyBorder="1" applyAlignment="1">
      <alignment vertical="center"/>
    </xf>
    <xf numFmtId="5" fontId="27" fillId="2" borderId="2"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vertical="center"/>
    </xf>
    <xf numFmtId="0" fontId="37" fillId="0" borderId="5" xfId="0" applyFont="1" applyBorder="1" applyAlignment="1">
      <alignment vertical="center"/>
    </xf>
    <xf numFmtId="0" fontId="3" fillId="0" borderId="5" xfId="0" applyFont="1" applyBorder="1" applyAlignment="1">
      <alignment vertical="center"/>
    </xf>
    <xf numFmtId="0" fontId="6" fillId="0" borderId="0" xfId="0" applyFont="1" applyAlignment="1">
      <alignment vertical="center"/>
    </xf>
    <xf numFmtId="0" fontId="3" fillId="9" borderId="1" xfId="0" applyFont="1" applyFill="1" applyBorder="1" applyAlignment="1">
      <alignment horizontal="center" vertical="center"/>
    </xf>
    <xf numFmtId="1" fontId="31" fillId="0" borderId="14" xfId="0" applyNumberFormat="1" applyFont="1" applyBorder="1" applyAlignment="1">
      <alignment horizontal="center" vertical="center"/>
    </xf>
    <xf numFmtId="171" fontId="3" fillId="0" borderId="14" xfId="0" applyNumberFormat="1" applyFont="1" applyBorder="1" applyAlignment="1">
      <alignment horizontal="center" vertical="center"/>
    </xf>
    <xf numFmtId="0" fontId="38" fillId="0" borderId="0" xfId="0" applyFont="1" applyAlignment="1">
      <alignment vertical="center"/>
    </xf>
    <xf numFmtId="0" fontId="3" fillId="9" borderId="0" xfId="0" applyFont="1" applyFill="1" applyAlignment="1">
      <alignment horizontal="center"/>
    </xf>
    <xf numFmtId="0" fontId="30" fillId="9" borderId="0" xfId="0" applyFont="1" applyFill="1"/>
    <xf numFmtId="0" fontId="3" fillId="9" borderId="0" xfId="0" applyFont="1" applyFill="1"/>
    <xf numFmtId="0" fontId="3" fillId="3" borderId="0" xfId="0" applyFont="1" applyFill="1" applyAlignment="1">
      <alignment horizontal="center"/>
    </xf>
    <xf numFmtId="0" fontId="3" fillId="3" borderId="0" xfId="0" applyFont="1" applyFill="1" applyAlignment="1">
      <alignment horizontal="center" vertical="center"/>
    </xf>
    <xf numFmtId="165" fontId="31" fillId="3" borderId="0" xfId="2" applyNumberFormat="1" applyFont="1" applyFill="1" applyAlignment="1">
      <alignment horizontal="center"/>
    </xf>
    <xf numFmtId="0" fontId="30" fillId="9" borderId="0" xfId="0" applyFont="1" applyFill="1" applyAlignment="1">
      <alignment vertical="center"/>
    </xf>
    <xf numFmtId="0" fontId="3" fillId="9" borderId="0" xfId="0" applyFont="1" applyFill="1" applyAlignment="1">
      <alignment vertical="center"/>
    </xf>
    <xf numFmtId="0" fontId="39" fillId="9" borderId="0" xfId="0" applyFont="1" applyFill="1" applyAlignment="1">
      <alignment vertical="center"/>
    </xf>
    <xf numFmtId="0" fontId="6" fillId="9" borderId="1" xfId="0" applyFont="1" applyFill="1" applyBorder="1" applyAlignment="1">
      <alignment horizontal="center" vertical="center"/>
    </xf>
    <xf numFmtId="1" fontId="31" fillId="3" borderId="0" xfId="6" applyNumberFormat="1" applyFont="1" applyFill="1" applyAlignment="1">
      <alignment vertical="center"/>
    </xf>
    <xf numFmtId="165" fontId="31" fillId="3" borderId="0" xfId="2" applyNumberFormat="1" applyFont="1" applyFill="1" applyAlignment="1">
      <alignment vertical="center"/>
    </xf>
    <xf numFmtId="0" fontId="3" fillId="9" borderId="4" xfId="0" applyFont="1" applyFill="1" applyBorder="1" applyAlignment="1">
      <alignment vertical="center"/>
    </xf>
    <xf numFmtId="0" fontId="3" fillId="9" borderId="3" xfId="0" applyFont="1" applyFill="1" applyBorder="1" applyAlignment="1">
      <alignment vertical="center"/>
    </xf>
    <xf numFmtId="0" fontId="3" fillId="9" borderId="15" xfId="0" applyFont="1" applyFill="1" applyBorder="1" applyAlignment="1">
      <alignment vertical="center"/>
    </xf>
    <xf numFmtId="0" fontId="3" fillId="9" borderId="14" xfId="0" applyFont="1" applyFill="1" applyBorder="1" applyAlignment="1">
      <alignment vertical="center"/>
    </xf>
    <xf numFmtId="0" fontId="3" fillId="9" borderId="13" xfId="0" applyFont="1" applyFill="1" applyBorder="1" applyAlignment="1">
      <alignment vertical="center"/>
    </xf>
    <xf numFmtId="0" fontId="3" fillId="9" borderId="16" xfId="0" applyFont="1" applyFill="1" applyBorder="1" applyAlignment="1">
      <alignment vertical="center"/>
    </xf>
    <xf numFmtId="0" fontId="3" fillId="9" borderId="4" xfId="0" applyFont="1" applyFill="1" applyBorder="1" applyAlignment="1">
      <alignment horizontal="left" vertical="center"/>
    </xf>
    <xf numFmtId="0" fontId="6" fillId="9" borderId="1" xfId="0" applyFont="1" applyFill="1" applyBorder="1" applyAlignment="1">
      <alignment horizontal="left" vertical="center"/>
    </xf>
    <xf numFmtId="0" fontId="31" fillId="3" borderId="0" xfId="0" applyFont="1" applyFill="1" applyAlignment="1">
      <alignment horizontal="center" vertical="center"/>
    </xf>
    <xf numFmtId="165" fontId="31" fillId="3" borderId="0" xfId="2" applyNumberFormat="1" applyFont="1" applyFill="1" applyAlignment="1">
      <alignment horizontal="center" vertical="center"/>
    </xf>
    <xf numFmtId="0" fontId="6" fillId="3" borderId="0" xfId="0" applyFont="1" applyFill="1"/>
    <xf numFmtId="0" fontId="6" fillId="9" borderId="0" xfId="0" applyFont="1" applyFill="1" applyAlignment="1">
      <alignment horizontal="center"/>
    </xf>
    <xf numFmtId="0" fontId="6" fillId="9" borderId="0" xfId="0" applyFont="1" applyFill="1"/>
    <xf numFmtId="0" fontId="6" fillId="0" borderId="0" xfId="0" applyFont="1"/>
    <xf numFmtId="0" fontId="20" fillId="4" borderId="2" xfId="0" applyFont="1" applyFill="1" applyBorder="1" applyAlignment="1">
      <alignment horizontal="center" vertical="top"/>
    </xf>
    <xf numFmtId="164" fontId="22" fillId="10" borderId="9" xfId="0" applyNumberFormat="1" applyFont="1" applyFill="1" applyBorder="1" applyAlignment="1">
      <alignment horizontal="center"/>
    </xf>
    <xf numFmtId="172" fontId="5" fillId="0" borderId="0" xfId="0" applyNumberFormat="1" applyFont="1" applyAlignment="1">
      <alignment horizontal="left" vertical="center"/>
    </xf>
    <xf numFmtId="0" fontId="5" fillId="0" borderId="0" xfId="0" applyFont="1" applyAlignment="1">
      <alignment horizontal="left" vertical="center"/>
    </xf>
    <xf numFmtId="172" fontId="5" fillId="6" borderId="17" xfId="0" applyNumberFormat="1" applyFont="1" applyFill="1" applyBorder="1" applyAlignment="1">
      <alignment horizontal="left" vertical="center"/>
    </xf>
    <xf numFmtId="0" fontId="5" fillId="11" borderId="7" xfId="0" applyFont="1" applyFill="1" applyBorder="1" applyAlignment="1">
      <alignment horizontal="left" vertical="center"/>
    </xf>
    <xf numFmtId="172" fontId="5" fillId="11" borderId="7" xfId="0" applyNumberFormat="1" applyFont="1" applyFill="1" applyBorder="1" applyAlignment="1">
      <alignment horizontal="left" vertical="center"/>
    </xf>
    <xf numFmtId="0" fontId="5" fillId="6" borderId="17" xfId="0" applyFont="1" applyFill="1" applyBorder="1" applyAlignment="1">
      <alignment horizontal="left" vertical="center"/>
    </xf>
    <xf numFmtId="0" fontId="25" fillId="8" borderId="6" xfId="0" applyFont="1" applyFill="1" applyBorder="1" applyAlignment="1">
      <alignment horizontal="center" vertical="center"/>
    </xf>
    <xf numFmtId="0" fontId="25" fillId="8" borderId="2" xfId="0" applyFont="1" applyFill="1" applyBorder="1" applyAlignment="1">
      <alignment horizontal="center" vertical="center"/>
    </xf>
    <xf numFmtId="0" fontId="3" fillId="0" borderId="0" xfId="0" applyFont="1" applyAlignment="1">
      <alignment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2" xfId="0" applyFont="1" applyFill="1" applyBorder="1" applyAlignment="1">
      <alignment horizontal="center" vertical="center"/>
    </xf>
    <xf numFmtId="0" fontId="3" fillId="9" borderId="0" xfId="0" applyFont="1" applyFill="1" applyAlignment="1">
      <alignment horizontal="left" vertical="center" wrapText="1"/>
    </xf>
    <xf numFmtId="0" fontId="39" fillId="9" borderId="0" xfId="0" applyFont="1" applyFill="1" applyAlignment="1">
      <alignment horizontal="left" vertical="top" wrapText="1"/>
    </xf>
    <xf numFmtId="0" fontId="3" fillId="0" borderId="0" xfId="0" applyFont="1"/>
    <xf numFmtId="5" fontId="30" fillId="0" borderId="0" xfId="0" applyNumberFormat="1" applyFont="1" applyAlignment="1">
      <alignment horizontal="center" vertical="center"/>
    </xf>
    <xf numFmtId="7" fontId="30" fillId="0" borderId="0" xfId="0" applyNumberFormat="1" applyFont="1" applyAlignment="1">
      <alignment horizontal="center" vertical="center"/>
    </xf>
    <xf numFmtId="170" fontId="5" fillId="0" borderId="0" xfId="0" applyNumberFormat="1" applyFont="1" applyAlignment="1">
      <alignment horizontal="left" vertical="center"/>
    </xf>
    <xf numFmtId="0" fontId="29" fillId="0" borderId="0" xfId="0" applyFont="1" applyAlignment="1">
      <alignment vertical="center"/>
    </xf>
    <xf numFmtId="0" fontId="29" fillId="0" borderId="0" xfId="0" applyFont="1" applyAlignment="1">
      <alignment vertical="center"/>
    </xf>
  </cellXfs>
  <cellStyles count="7">
    <cellStyle name="Comma" xfId="2" builtinId="3"/>
    <cellStyle name="Comma 2" xfId="4" xr:uid="{59FF5D8F-5419-470D-AB1B-258D0E4C38EF}"/>
    <cellStyle name="Currency 2" xfId="5" xr:uid="{CA1684E1-D76F-4A82-A20B-774A014B9207}"/>
    <cellStyle name="Normal" xfId="0" builtinId="0"/>
    <cellStyle name="Normal 2" xfId="3" xr:uid="{D7FC0AED-57A8-4F6A-B2CA-2EC10AAA30AC}"/>
    <cellStyle name="Normal 2 2" xfId="1" xr:uid="{00000000-0005-0000-0000-000001000000}"/>
    <cellStyle name="Percent" xfId="6" builtinId="5"/>
  </cellStyles>
  <dxfs count="9">
    <dxf>
      <font>
        <color rgb="FFFF0000"/>
      </font>
      <fill>
        <patternFill patternType="none">
          <bgColor auto="1"/>
        </patternFill>
      </fill>
    </dxf>
    <dxf>
      <font>
        <color rgb="FF00B050"/>
      </font>
      <fill>
        <patternFill patternType="none">
          <bgColor auto="1"/>
        </patternFill>
      </fill>
    </dxf>
    <dxf>
      <font>
        <color rgb="FFFF0000"/>
      </font>
      <fill>
        <patternFill>
          <bgColor theme="0"/>
        </patternFill>
      </fill>
    </dxf>
    <dxf>
      <font>
        <color rgb="FF00B050"/>
      </font>
      <fill>
        <patternFill patternType="none">
          <bgColor auto="1"/>
        </patternFill>
      </fill>
    </dxf>
    <dxf>
      <font>
        <color rgb="FFFF0000"/>
      </font>
      <fill>
        <patternFill>
          <bgColor theme="0"/>
        </patternFill>
      </fill>
    </dxf>
    <dxf>
      <font>
        <color rgb="FF00B050"/>
      </font>
      <fill>
        <patternFill patternType="none">
          <bgColor auto="1"/>
        </patternFill>
      </fill>
    </dxf>
    <dxf>
      <font>
        <color rgb="FFFF0000"/>
      </font>
      <fill>
        <patternFill>
          <bgColor theme="0"/>
        </patternFill>
      </fill>
    </dxf>
    <dxf>
      <font>
        <color rgb="FF00B050"/>
      </font>
      <fill>
        <patternFill patternType="none">
          <bgColor auto="1"/>
        </patternFill>
      </fill>
    </dxf>
    <dxf>
      <font>
        <color rgb="FFFF0000"/>
      </font>
      <fill>
        <patternFill>
          <bgColor theme="0"/>
        </patternFill>
      </fill>
    </dxf>
  </dxfs>
  <tableStyles count="0" defaultTableStyle="TableStyleMedium2" defaultPivotStyle="PivotStyleLight16"/>
  <colors>
    <mruColors>
      <color rgb="FFFDADA9"/>
      <color rgb="FFFED0CE"/>
      <color rgb="FF00A5CF"/>
      <color rgb="FF0000FF"/>
      <color rgb="FF00A3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201706</xdr:colOff>
      <xdr:row>0</xdr:row>
      <xdr:rowOff>134470</xdr:rowOff>
    </xdr:from>
    <xdr:to>
      <xdr:col>3</xdr:col>
      <xdr:colOff>1395320</xdr:colOff>
      <xdr:row>2</xdr:row>
      <xdr:rowOff>282294</xdr:rowOff>
    </xdr:to>
    <xdr:pic>
      <xdr:nvPicPr>
        <xdr:cNvPr id="4" name="x_Picture 3" descr="A blue and white logo&#10;&#10;Description automatically generated">
          <a:extLst>
            <a:ext uri="{FF2B5EF4-FFF2-40B4-BE49-F238E27FC236}">
              <a16:creationId xmlns:a16="http://schemas.microsoft.com/office/drawing/2014/main" id="{C7C25F40-F658-4BAF-A4E6-C52116352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134470"/>
          <a:ext cx="1540996" cy="562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66896</xdr:colOff>
      <xdr:row>0</xdr:row>
      <xdr:rowOff>66261</xdr:rowOff>
    </xdr:from>
    <xdr:to>
      <xdr:col>9</xdr:col>
      <xdr:colOff>562597</xdr:colOff>
      <xdr:row>1</xdr:row>
      <xdr:rowOff>269050</xdr:rowOff>
    </xdr:to>
    <xdr:pic>
      <xdr:nvPicPr>
        <xdr:cNvPr id="2" name="Picture 1">
          <a:extLst>
            <a:ext uri="{FF2B5EF4-FFF2-40B4-BE49-F238E27FC236}">
              <a16:creationId xmlns:a16="http://schemas.microsoft.com/office/drawing/2014/main" id="{3D3193EF-B7EE-47FA-AE40-86F3140B9194}"/>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5315171" y="66261"/>
          <a:ext cx="1381526" cy="440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161525</xdr:colOff>
      <xdr:row>0</xdr:row>
      <xdr:rowOff>127828</xdr:rowOff>
    </xdr:from>
    <xdr:to>
      <xdr:col>1</xdr:col>
      <xdr:colOff>1433580</xdr:colOff>
      <xdr:row>0</xdr:row>
      <xdr:rowOff>690270</xdr:rowOff>
    </xdr:to>
    <xdr:pic>
      <xdr:nvPicPr>
        <xdr:cNvPr id="2" name="x_Picture 3" descr="A blue and white logo&#10;&#10;Description automatically generated">
          <a:extLst>
            <a:ext uri="{FF2B5EF4-FFF2-40B4-BE49-F238E27FC236}">
              <a16:creationId xmlns:a16="http://schemas.microsoft.com/office/drawing/2014/main" id="{93CEF6FF-C26F-4675-9A68-FE2D911CDF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525" y="127828"/>
          <a:ext cx="1540996" cy="562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xdr:colOff>
      <xdr:row>0</xdr:row>
      <xdr:rowOff>76200</xdr:rowOff>
    </xdr:from>
    <xdr:to>
      <xdr:col>3</xdr:col>
      <xdr:colOff>1368666</xdr:colOff>
      <xdr:row>0</xdr:row>
      <xdr:rowOff>638082</xdr:rowOff>
    </xdr:to>
    <xdr:pic>
      <xdr:nvPicPr>
        <xdr:cNvPr id="2" name="x_Picture 3" descr="A blue and white logo&#10;&#10;Description automatically generated">
          <a:extLst>
            <a:ext uri="{FF2B5EF4-FFF2-40B4-BE49-F238E27FC236}">
              <a16:creationId xmlns:a16="http://schemas.microsoft.com/office/drawing/2014/main" id="{1354DF6B-37EE-4AAE-A1A3-949D52BB31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1555991" cy="561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149087</xdr:colOff>
      <xdr:row>0</xdr:row>
      <xdr:rowOff>82826</xdr:rowOff>
    </xdr:from>
    <xdr:to>
      <xdr:col>3</xdr:col>
      <xdr:colOff>1333051</xdr:colOff>
      <xdr:row>0</xdr:row>
      <xdr:rowOff>644708</xdr:rowOff>
    </xdr:to>
    <xdr:pic>
      <xdr:nvPicPr>
        <xdr:cNvPr id="2" name="x_Picture 3" descr="A blue and white logo&#10;&#10;Description automatically generated">
          <a:extLst>
            <a:ext uri="{FF2B5EF4-FFF2-40B4-BE49-F238E27FC236}">
              <a16:creationId xmlns:a16="http://schemas.microsoft.com/office/drawing/2014/main" id="{DE04BAD3-339C-4B90-90DB-2A031DCFD1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87" y="82826"/>
          <a:ext cx="1552264" cy="561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149087</xdr:colOff>
      <xdr:row>0</xdr:row>
      <xdr:rowOff>82826</xdr:rowOff>
    </xdr:from>
    <xdr:to>
      <xdr:col>3</xdr:col>
      <xdr:colOff>1333051</xdr:colOff>
      <xdr:row>0</xdr:row>
      <xdr:rowOff>644708</xdr:rowOff>
    </xdr:to>
    <xdr:pic>
      <xdr:nvPicPr>
        <xdr:cNvPr id="2" name="x_Picture 3" descr="A blue and white logo&#10;&#10;Description automatically generated">
          <a:extLst>
            <a:ext uri="{FF2B5EF4-FFF2-40B4-BE49-F238E27FC236}">
              <a16:creationId xmlns:a16="http://schemas.microsoft.com/office/drawing/2014/main" id="{0E0BEA98-0642-421C-97AA-78CCFC5A07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87" y="82826"/>
          <a:ext cx="1552264" cy="561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2B8F9-27DA-473D-ABD1-726BC906D0E8}">
  <sheetPr>
    <tabColor rgb="FF0000FF"/>
  </sheetPr>
  <dimension ref="A1:Q40"/>
  <sheetViews>
    <sheetView showGridLines="0" tabSelected="1" topLeftCell="C1" zoomScale="85" zoomScaleNormal="85" workbookViewId="0">
      <selection activeCell="C1" sqref="C1"/>
    </sheetView>
  </sheetViews>
  <sheetFormatPr defaultColWidth="9.140625" defaultRowHeight="23.25" x14ac:dyDescent="0.65"/>
  <cols>
    <col min="1" max="2" width="12.28515625" style="81" hidden="1" customWidth="1"/>
    <col min="3" max="3" width="5.28515625" style="32" customWidth="1"/>
    <col min="4" max="4" width="45.42578125" style="32" customWidth="1"/>
    <col min="5" max="5" width="20" style="32" customWidth="1"/>
    <col min="6" max="6" width="23.85546875" style="32" customWidth="1"/>
    <col min="7" max="7" width="17.85546875" style="32" customWidth="1"/>
    <col min="8" max="8" width="16.5703125" style="32" customWidth="1"/>
    <col min="9" max="9" width="65.85546875" style="32" bestFit="1" customWidth="1"/>
    <col min="10" max="10" width="11.5703125" style="32" customWidth="1"/>
    <col min="11" max="16384" width="9.140625" style="32"/>
  </cols>
  <sheetData>
    <row r="1" spans="1:8" ht="19.5" customHeight="1" x14ac:dyDescent="0.65"/>
    <row r="2" spans="1:8" ht="13.5" customHeight="1" x14ac:dyDescent="0.65"/>
    <row r="3" spans="1:8" ht="27" customHeight="1" x14ac:dyDescent="0.65"/>
    <row r="4" spans="1:8" s="21" customFormat="1" ht="32.25" customHeight="1" thickBot="1" x14ac:dyDescent="1">
      <c r="A4" s="82"/>
      <c r="B4" s="82"/>
      <c r="D4" s="87" t="s">
        <v>10</v>
      </c>
      <c r="E4" s="83"/>
      <c r="F4" s="83"/>
      <c r="G4" s="83"/>
    </row>
    <row r="5" spans="1:8" s="21" customFormat="1" ht="12" customHeight="1" x14ac:dyDescent="0.25">
      <c r="A5" s="82"/>
      <c r="B5" s="82"/>
    </row>
    <row r="6" spans="1:8" s="21" customFormat="1" ht="14.25" customHeight="1" x14ac:dyDescent="0.25">
      <c r="A6" s="82"/>
      <c r="B6" s="82"/>
      <c r="D6" s="22" t="s">
        <v>18</v>
      </c>
      <c r="E6"/>
      <c r="F6"/>
      <c r="G6"/>
    </row>
    <row r="7" spans="1:8" s="21" customFormat="1" ht="18.75" customHeight="1" x14ac:dyDescent="0.25">
      <c r="D7" s="23" t="s">
        <v>4</v>
      </c>
      <c r="E7" s="24" t="s">
        <v>19</v>
      </c>
    </row>
    <row r="8" spans="1:8" s="21" customFormat="1" ht="5.0999999999999996" customHeight="1" x14ac:dyDescent="0.25"/>
    <row r="9" spans="1:8" s="27" customFormat="1" ht="43.5" x14ac:dyDescent="0.25">
      <c r="A9" s="84"/>
      <c r="B9" s="84"/>
      <c r="D9" s="40" t="s">
        <v>5</v>
      </c>
      <c r="E9" s="40" t="s">
        <v>31</v>
      </c>
      <c r="F9" s="41" t="s">
        <v>37</v>
      </c>
      <c r="G9" s="40" t="s">
        <v>33</v>
      </c>
      <c r="H9" s="40" t="s">
        <v>32</v>
      </c>
    </row>
    <row r="10" spans="1:8" s="21" customFormat="1" ht="18" customHeight="1" x14ac:dyDescent="0.25">
      <c r="A10" s="82"/>
      <c r="B10" s="85"/>
      <c r="D10" s="42" t="s">
        <v>30</v>
      </c>
      <c r="E10" s="46">
        <v>75.400000000000006</v>
      </c>
      <c r="F10" s="46">
        <v>67.55</v>
      </c>
      <c r="G10" s="47">
        <f t="shared" ref="G10:G14" si="0">+E10-F10</f>
        <v>7.8500000000000085</v>
      </c>
      <c r="H10" s="48">
        <f>+-(F10/E10-1)</f>
        <v>0.1041114058355439</v>
      </c>
    </row>
    <row r="11" spans="1:8" s="21" customFormat="1" ht="18" customHeight="1" x14ac:dyDescent="0.25">
      <c r="A11" s="82"/>
      <c r="B11" s="85"/>
      <c r="D11" s="43" t="s">
        <v>6</v>
      </c>
      <c r="E11" s="46">
        <v>71.099999999999994</v>
      </c>
      <c r="F11" s="46">
        <v>64.92</v>
      </c>
      <c r="G11" s="47">
        <f t="shared" si="0"/>
        <v>6.1799999999999926</v>
      </c>
      <c r="H11" s="48">
        <f t="shared" ref="H11:H16" si="1">+-(F11/E11-1)</f>
        <v>8.6919831223628563E-2</v>
      </c>
    </row>
    <row r="12" spans="1:8" s="21" customFormat="1" ht="18" customHeight="1" x14ac:dyDescent="0.25">
      <c r="A12" s="82"/>
      <c r="B12" s="85"/>
      <c r="D12" s="43" t="s">
        <v>7</v>
      </c>
      <c r="E12" s="46">
        <v>63.83</v>
      </c>
      <c r="F12" s="46">
        <v>59.24</v>
      </c>
      <c r="G12" s="47">
        <f t="shared" si="0"/>
        <v>4.5899999999999963</v>
      </c>
      <c r="H12" s="48">
        <f t="shared" si="1"/>
        <v>7.1909760300798986E-2</v>
      </c>
    </row>
    <row r="13" spans="1:8" s="21" customFormat="1" ht="18" customHeight="1" x14ac:dyDescent="0.25">
      <c r="A13" s="82"/>
      <c r="B13" s="85"/>
      <c r="D13" s="44" t="s">
        <v>34</v>
      </c>
      <c r="E13" s="49">
        <f>SUM(E10:E12)</f>
        <v>210.32999999999998</v>
      </c>
      <c r="F13" s="49">
        <f>SUM(F10:F12)</f>
        <v>191.71</v>
      </c>
      <c r="G13" s="50">
        <f t="shared" ref="G13" si="2">+E13-F13</f>
        <v>18.619999999999976</v>
      </c>
      <c r="H13" s="51">
        <f t="shared" si="1"/>
        <v>8.8527551942185978E-2</v>
      </c>
    </row>
    <row r="14" spans="1:8" s="21" customFormat="1" ht="18" customHeight="1" x14ac:dyDescent="0.25">
      <c r="A14" s="82"/>
      <c r="B14" s="85"/>
      <c r="D14" s="43" t="s">
        <v>8</v>
      </c>
      <c r="E14" s="46">
        <v>96.65</v>
      </c>
      <c r="F14" s="46">
        <v>88.17</v>
      </c>
      <c r="G14" s="47">
        <f t="shared" si="0"/>
        <v>8.480000000000004</v>
      </c>
      <c r="H14" s="48">
        <f t="shared" si="1"/>
        <v>8.7739265390584631E-2</v>
      </c>
    </row>
    <row r="15" spans="1:8" s="21" customFormat="1" ht="18" customHeight="1" thickBot="1" x14ac:dyDescent="0.3">
      <c r="A15" s="82"/>
      <c r="B15" s="85"/>
      <c r="D15" s="43" t="s">
        <v>35</v>
      </c>
      <c r="E15" s="46">
        <v>12.27</v>
      </c>
      <c r="F15" s="46">
        <v>12.27</v>
      </c>
      <c r="G15" s="47">
        <f t="shared" ref="G15" si="3">+E15-F15</f>
        <v>0</v>
      </c>
      <c r="H15" s="48">
        <f t="shared" si="1"/>
        <v>0</v>
      </c>
    </row>
    <row r="16" spans="1:8" s="21" customFormat="1" ht="18" customHeight="1" thickBot="1" x14ac:dyDescent="0.3">
      <c r="A16" s="82"/>
      <c r="B16" s="85"/>
      <c r="D16" s="45" t="s">
        <v>36</v>
      </c>
      <c r="E16" s="52">
        <f>+SUM(E13:E15)</f>
        <v>319.25</v>
      </c>
      <c r="F16" s="52">
        <f>+SUM(F13:F15)</f>
        <v>292.14999999999998</v>
      </c>
      <c r="G16" s="53">
        <f>SUM(G13:G15)</f>
        <v>27.09999999999998</v>
      </c>
      <c r="H16" s="54">
        <f t="shared" si="1"/>
        <v>8.4886452623336051E-2</v>
      </c>
    </row>
    <row r="17" spans="1:17" s="21" customFormat="1" ht="17.100000000000001" customHeight="1" x14ac:dyDescent="0.25">
      <c r="B17" s="86"/>
    </row>
    <row r="18" spans="1:17" x14ac:dyDescent="0.65">
      <c r="A18" s="32"/>
      <c r="B18" s="32"/>
      <c r="D18" s="23" t="s">
        <v>9</v>
      </c>
      <c r="E18" s="24" t="s">
        <v>20</v>
      </c>
      <c r="G18" s="55"/>
    </row>
    <row r="19" spans="1:17" s="21" customFormat="1" ht="5.0999999999999996" customHeight="1" x14ac:dyDescent="0.25"/>
    <row r="20" spans="1:17" s="27" customFormat="1" x14ac:dyDescent="0.25">
      <c r="A20" s="84"/>
      <c r="B20" s="84"/>
      <c r="D20" s="25" t="s">
        <v>11</v>
      </c>
      <c r="E20" s="26"/>
      <c r="F20" s="33"/>
      <c r="G20" s="25" t="s">
        <v>13</v>
      </c>
    </row>
    <row r="21" spans="1:17" s="21" customFormat="1" x14ac:dyDescent="0.65">
      <c r="A21" s="82"/>
      <c r="B21" s="85"/>
      <c r="D21" s="28" t="s">
        <v>12</v>
      </c>
      <c r="E21" s="34"/>
      <c r="F21" s="34"/>
      <c r="G21" s="35">
        <f>('Fuel Optimization'!D14+'Fuel Optimization'!D22)/1000000</f>
        <v>7.583377649</v>
      </c>
      <c r="H21" s="61"/>
    </row>
    <row r="22" spans="1:17" s="21" customFormat="1" x14ac:dyDescent="0.65">
      <c r="A22" s="82"/>
      <c r="B22" s="85"/>
      <c r="D22" s="29" t="s">
        <v>14</v>
      </c>
      <c r="E22" s="36"/>
      <c r="F22" s="36"/>
      <c r="G22" s="37">
        <f>'Fuel Optimization'!D33/1000000</f>
        <v>3.8250000000000002</v>
      </c>
      <c r="H22" s="61"/>
      <c r="I22" s="151" t="s">
        <v>9</v>
      </c>
      <c r="J22" s="167">
        <f>SUM(G21:G25)/2</f>
        <v>6.0817034002999995</v>
      </c>
      <c r="L22" s="151"/>
      <c r="M22" s="151"/>
      <c r="N22" s="151"/>
      <c r="O22" s="151"/>
      <c r="P22" s="151"/>
      <c r="Q22" s="151"/>
    </row>
    <row r="23" spans="1:17" s="21" customFormat="1" x14ac:dyDescent="0.65">
      <c r="B23" s="86"/>
      <c r="D23" s="29" t="s">
        <v>15</v>
      </c>
      <c r="E23" s="36"/>
      <c r="F23" s="36"/>
      <c r="G23" s="37">
        <f>'Fuel Optimization'!D46/1000000</f>
        <v>0</v>
      </c>
      <c r="H23" s="60"/>
      <c r="I23" s="151" t="s">
        <v>123</v>
      </c>
      <c r="J23" s="167">
        <f>(G16-G10)*0.5</f>
        <v>9.6249999999999858</v>
      </c>
      <c r="L23" s="151"/>
      <c r="M23" s="151"/>
      <c r="N23" s="151"/>
      <c r="O23" s="151"/>
      <c r="P23" s="151"/>
      <c r="Q23" s="151"/>
    </row>
    <row r="24" spans="1:17" s="21" customFormat="1" x14ac:dyDescent="0.65">
      <c r="A24" s="82"/>
      <c r="B24" s="85"/>
      <c r="D24" s="29" t="s">
        <v>16</v>
      </c>
      <c r="E24" s="36"/>
      <c r="F24" s="36"/>
      <c r="G24" s="37">
        <f>('Fuel Optimization'!D58+'Fuel Optimization'!D66)/1000000</f>
        <v>0.1179636216</v>
      </c>
      <c r="H24" s="61"/>
      <c r="I24" s="153" t="s">
        <v>125</v>
      </c>
      <c r="J24" s="154">
        <f>SUM(J22:J23)</f>
        <v>15.706703400299986</v>
      </c>
      <c r="L24" s="151"/>
      <c r="M24" s="151"/>
      <c r="N24" s="151"/>
      <c r="O24" s="151"/>
      <c r="P24" s="151"/>
      <c r="Q24" s="151"/>
    </row>
    <row r="25" spans="1:17" s="21" customFormat="1" x14ac:dyDescent="0.65">
      <c r="A25" s="82"/>
      <c r="B25" s="85"/>
      <c r="D25" s="29" t="s">
        <v>17</v>
      </c>
      <c r="E25" s="36"/>
      <c r="F25" s="36"/>
      <c r="G25" s="37">
        <f>('Fuel Optimization'!D76+'Fuel Optimization'!D84+'Fuel Optimization'!D93+'Fuel Optimization'!D102+'Fuel Optimization'!D110+'Fuel Optimization'!D118+'Fuel Optimization'!D126+'Fuel Optimization'!D134)/1000000</f>
        <v>0.63706552999999988</v>
      </c>
      <c r="H25" s="61"/>
      <c r="I25" s="151" t="s">
        <v>124</v>
      </c>
      <c r="J25" s="150">
        <f>G32-J24</f>
        <v>32.483737593599997</v>
      </c>
      <c r="L25" s="151"/>
      <c r="M25" s="151"/>
      <c r="N25" s="151"/>
      <c r="O25" s="151"/>
      <c r="P25" s="151"/>
      <c r="Q25" s="151"/>
    </row>
    <row r="26" spans="1:17" s="21" customFormat="1" ht="24" thickBot="1" x14ac:dyDescent="0.7">
      <c r="A26" s="82"/>
      <c r="B26" s="85"/>
      <c r="D26" s="29" t="s">
        <v>38</v>
      </c>
      <c r="E26" s="36"/>
      <c r="F26" s="36"/>
      <c r="G26" s="37">
        <f>'Fuel Optimization'!D145/1000000</f>
        <v>64.967475187199994</v>
      </c>
      <c r="H26" s="61"/>
      <c r="I26" s="155" t="s">
        <v>126</v>
      </c>
      <c r="J26" s="152">
        <f>J24+J25</f>
        <v>48.190440993899983</v>
      </c>
      <c r="L26" s="151"/>
      <c r="M26" s="151"/>
      <c r="N26" s="151"/>
      <c r="O26" s="151"/>
      <c r="P26" s="151"/>
      <c r="Q26" s="151"/>
    </row>
    <row r="27" spans="1:17" s="21" customFormat="1" ht="24" thickBot="1" x14ac:dyDescent="0.7">
      <c r="A27" s="82"/>
      <c r="B27" s="85"/>
      <c r="D27" s="38" t="s">
        <v>0</v>
      </c>
      <c r="E27" s="30"/>
      <c r="F27" s="30"/>
      <c r="G27" s="31">
        <f>SUM(G21:G26)</f>
        <v>77.130881987799995</v>
      </c>
    </row>
    <row r="28" spans="1:17" ht="5.0999999999999996" customHeight="1" thickBot="1" x14ac:dyDescent="0.7"/>
    <row r="29" spans="1:17" ht="24" thickBot="1" x14ac:dyDescent="0.7">
      <c r="F29" s="58" t="s">
        <v>40</v>
      </c>
      <c r="G29" s="31">
        <f>+G16+G27</f>
        <v>104.23088198779998</v>
      </c>
      <c r="H29" s="56"/>
    </row>
    <row r="30" spans="1:17" ht="24" thickBot="1" x14ac:dyDescent="0.7">
      <c r="F30" s="58" t="s">
        <v>39</v>
      </c>
      <c r="G30" s="31">
        <f>+-G10</f>
        <v>-7.8500000000000085</v>
      </c>
      <c r="H30" s="56"/>
    </row>
    <row r="31" spans="1:17" ht="24" thickBot="1" x14ac:dyDescent="0.7">
      <c r="F31" s="58" t="s">
        <v>41</v>
      </c>
      <c r="G31" s="31">
        <f>SUM(G29:G30)</f>
        <v>96.380881987799967</v>
      </c>
      <c r="H31" s="56"/>
    </row>
    <row r="32" spans="1:17" ht="24" thickBot="1" x14ac:dyDescent="0.7">
      <c r="F32" s="59" t="s">
        <v>42</v>
      </c>
      <c r="G32" s="39">
        <f>+G31/2</f>
        <v>48.190440993899983</v>
      </c>
      <c r="H32" s="55"/>
      <c r="J32" s="55"/>
    </row>
    <row r="33" spans="4:8" x14ac:dyDescent="0.65">
      <c r="H33" s="57"/>
    </row>
    <row r="34" spans="4:8" x14ac:dyDescent="0.65">
      <c r="D34" s="23" t="s">
        <v>122</v>
      </c>
      <c r="E34" s="24"/>
      <c r="G34" s="55"/>
    </row>
    <row r="35" spans="4:8" ht="6" customHeight="1" x14ac:dyDescent="0.65">
      <c r="D35" s="21"/>
      <c r="E35" s="21"/>
      <c r="F35" s="21"/>
      <c r="G35" s="21"/>
    </row>
    <row r="36" spans="4:8" x14ac:dyDescent="0.65">
      <c r="D36" s="25" t="s">
        <v>120</v>
      </c>
      <c r="E36" s="26"/>
      <c r="F36" s="148"/>
      <c r="G36" s="25" t="s">
        <v>13</v>
      </c>
    </row>
    <row r="37" spans="4:8" x14ac:dyDescent="0.65">
      <c r="D37" s="29" t="s">
        <v>89</v>
      </c>
      <c r="E37" s="36"/>
      <c r="F37" s="36"/>
      <c r="G37" s="37">
        <f>(IF(('Safety Compliance'!E9+'Safety Compliance'!E17+'Safety Compliance'!E25)&lt;-100000,-100000,('Safety Compliance'!E9+'Safety Compliance'!E17+'Safety Compliance'!E25)))/1000000</f>
        <v>-0.1</v>
      </c>
    </row>
    <row r="38" spans="4:8" x14ac:dyDescent="0.65">
      <c r="D38" s="29" t="s">
        <v>108</v>
      </c>
      <c r="E38" s="36"/>
      <c r="F38" s="36"/>
      <c r="G38" s="37">
        <f>(IF(('Environmental Compliance'!E9)&lt;-100000,-100000,('Environmental Compliance'!E9)))/1000000</f>
        <v>0.01</v>
      </c>
    </row>
    <row r="39" spans="4:8" ht="24" thickBot="1" x14ac:dyDescent="0.7">
      <c r="D39" s="29" t="s">
        <v>117</v>
      </c>
      <c r="E39" s="36"/>
      <c r="F39" s="36"/>
      <c r="G39" s="37">
        <f>(IF(('Reporting Obligations'!D9)&lt;-100000,-100000,('Reporting Obligations'!D9)))/1000000</f>
        <v>0</v>
      </c>
    </row>
    <row r="40" spans="4:8" ht="24" thickBot="1" x14ac:dyDescent="0.7">
      <c r="D40" s="38" t="s">
        <v>121</v>
      </c>
      <c r="E40" s="30"/>
      <c r="F40" s="30"/>
      <c r="G40" s="149">
        <f>SUM(G37:G39)</f>
        <v>-9.0000000000000011E-2</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E77F-5949-4ADE-A9E3-B0FC59D2D599}">
  <sheetPr>
    <tabColor rgb="FF0070C0"/>
  </sheetPr>
  <dimension ref="A1:R19"/>
  <sheetViews>
    <sheetView showGridLines="0" zoomScale="130" zoomScaleNormal="130" workbookViewId="0">
      <selection activeCell="B5" sqref="B5:L19"/>
    </sheetView>
  </sheetViews>
  <sheetFormatPr defaultColWidth="9.140625" defaultRowHeight="12.75" outlineLevelRow="1" x14ac:dyDescent="0.2"/>
  <cols>
    <col min="1" max="1" width="2.5703125" style="3" customWidth="1"/>
    <col min="2" max="2" width="3.42578125" style="19" customWidth="1"/>
    <col min="3" max="3" width="26.140625" style="3" customWidth="1"/>
    <col min="4" max="4" width="12.28515625" style="20" bestFit="1" customWidth="1"/>
    <col min="5" max="8" width="11.42578125" style="3" bestFit="1" customWidth="1"/>
    <col min="9" max="9" width="1.85546875" style="3" customWidth="1"/>
    <col min="10" max="12" width="14.28515625" style="3" customWidth="1"/>
    <col min="13" max="16384" width="9.140625" style="3"/>
  </cols>
  <sheetData>
    <row r="1" spans="1:18" ht="18.75" customHeight="1" x14ac:dyDescent="0.6">
      <c r="A1" s="1"/>
      <c r="B1" s="2"/>
      <c r="C1" s="1"/>
      <c r="D1" s="1"/>
      <c r="E1" s="1"/>
      <c r="F1" s="1"/>
      <c r="G1" s="1"/>
      <c r="H1" s="1"/>
    </row>
    <row r="2" spans="1:18" s="4" customFormat="1" ht="21.75" customHeight="1" thickBot="1" x14ac:dyDescent="0.4">
      <c r="B2" s="5" t="s">
        <v>21</v>
      </c>
      <c r="C2" s="6"/>
      <c r="D2" s="6"/>
      <c r="E2" s="6"/>
      <c r="F2" s="6"/>
      <c r="G2" s="6"/>
      <c r="H2" s="7"/>
      <c r="I2" s="7"/>
      <c r="J2" s="8"/>
      <c r="K2" s="7"/>
      <c r="L2" s="8" t="s">
        <v>22</v>
      </c>
    </row>
    <row r="3" spans="1:18" s="4" customFormat="1" ht="7.5" customHeight="1" x14ac:dyDescent="0.25">
      <c r="B3" s="9"/>
    </row>
    <row r="4" spans="1:18" s="4" customFormat="1" ht="14.45" customHeight="1" x14ac:dyDescent="0.25">
      <c r="B4" s="9"/>
    </row>
    <row r="5" spans="1:18" s="12" customFormat="1" ht="14.45" customHeight="1" x14ac:dyDescent="0.25">
      <c r="A5" s="10"/>
      <c r="M5" s="11"/>
      <c r="N5" s="11"/>
      <c r="O5" s="11"/>
      <c r="P5" s="11"/>
      <c r="Q5" s="11"/>
      <c r="R5" s="11"/>
    </row>
    <row r="6" spans="1:18" s="15" customFormat="1" ht="14.45" customHeight="1" x14ac:dyDescent="0.25">
      <c r="A6" s="13"/>
      <c r="M6" s="14"/>
      <c r="N6" s="14"/>
      <c r="O6" s="14"/>
      <c r="P6" s="14"/>
      <c r="Q6" s="14"/>
      <c r="R6" s="14"/>
    </row>
    <row r="7" spans="1:18" s="15" customFormat="1" ht="14.45" customHeight="1" x14ac:dyDescent="0.25">
      <c r="A7" s="13"/>
      <c r="M7" s="14"/>
      <c r="N7" s="14"/>
      <c r="O7" s="14"/>
      <c r="P7" s="14"/>
      <c r="Q7" s="14"/>
      <c r="R7" s="14"/>
    </row>
    <row r="8" spans="1:18" s="15" customFormat="1" ht="14.45" customHeight="1" x14ac:dyDescent="0.25">
      <c r="A8" s="13"/>
      <c r="M8" s="14"/>
      <c r="N8" s="14"/>
      <c r="O8" s="14"/>
      <c r="P8" s="14"/>
      <c r="Q8" s="14"/>
      <c r="R8" s="14"/>
    </row>
    <row r="9" spans="1:18" s="15" customFormat="1" ht="3.95" customHeight="1" x14ac:dyDescent="0.25">
      <c r="A9" s="13"/>
      <c r="M9" s="14"/>
      <c r="N9" s="14"/>
      <c r="O9" s="14"/>
      <c r="P9" s="14"/>
      <c r="Q9" s="14"/>
      <c r="R9" s="14"/>
    </row>
    <row r="10" spans="1:18" s="15" customFormat="1" ht="14.45" customHeight="1" x14ac:dyDescent="0.25">
      <c r="A10" s="13"/>
      <c r="M10" s="14"/>
      <c r="N10" s="14"/>
      <c r="O10" s="14"/>
      <c r="P10" s="14"/>
      <c r="Q10" s="14"/>
      <c r="R10" s="14"/>
    </row>
    <row r="11" spans="1:18" s="15" customFormat="1" ht="14.45" hidden="1" customHeight="1" outlineLevel="1" x14ac:dyDescent="0.25">
      <c r="A11" s="13"/>
      <c r="M11" s="14"/>
      <c r="N11" s="14"/>
      <c r="O11" s="14"/>
      <c r="P11" s="14"/>
      <c r="Q11" s="14"/>
      <c r="R11" s="14"/>
    </row>
    <row r="12" spans="1:18" s="15" customFormat="1" ht="3.95" customHeight="1" collapsed="1" x14ac:dyDescent="0.25">
      <c r="A12" s="13"/>
      <c r="M12" s="14"/>
      <c r="N12" s="14"/>
      <c r="O12" s="14"/>
      <c r="P12" s="14"/>
      <c r="Q12" s="14"/>
      <c r="R12" s="14"/>
    </row>
    <row r="13" spans="1:18" s="15" customFormat="1" ht="14.45" customHeight="1" x14ac:dyDescent="0.25">
      <c r="A13" s="13"/>
      <c r="M13" s="14"/>
      <c r="N13" s="14"/>
      <c r="O13" s="14"/>
      <c r="P13" s="14"/>
      <c r="Q13" s="14"/>
      <c r="R13" s="14"/>
    </row>
    <row r="14" spans="1:18" s="15" customFormat="1" ht="14.45" customHeight="1" x14ac:dyDescent="0.25">
      <c r="A14" s="13"/>
      <c r="M14" s="14"/>
      <c r="N14" s="14"/>
      <c r="O14" s="14"/>
      <c r="P14" s="14"/>
      <c r="Q14" s="14"/>
      <c r="R14" s="14"/>
    </row>
    <row r="15" spans="1:18" ht="3.95" customHeight="1" x14ac:dyDescent="0.2">
      <c r="M15" s="16"/>
      <c r="N15" s="16"/>
      <c r="O15" s="16"/>
      <c r="P15" s="16"/>
      <c r="Q15" s="16"/>
      <c r="R15" s="16"/>
    </row>
    <row r="16" spans="1:18" s="17" customFormat="1" x14ac:dyDescent="0.2">
      <c r="M16" s="18"/>
      <c r="N16" s="18"/>
      <c r="O16" s="18"/>
      <c r="P16" s="18"/>
      <c r="Q16" s="18"/>
      <c r="R16" s="18"/>
    </row>
    <row r="17" spans="13:18" ht="3.95" customHeight="1" x14ac:dyDescent="0.2">
      <c r="M17" s="16"/>
      <c r="N17" s="16"/>
      <c r="O17" s="16"/>
      <c r="P17" s="16"/>
      <c r="Q17" s="16"/>
      <c r="R17" s="16"/>
    </row>
    <row r="18" spans="13:18" s="17" customFormat="1" x14ac:dyDescent="0.2">
      <c r="M18" s="18"/>
      <c r="N18" s="18"/>
      <c r="O18" s="18"/>
      <c r="P18" s="18"/>
      <c r="Q18" s="18"/>
      <c r="R18" s="18"/>
    </row>
    <row r="19" spans="13:18" x14ac:dyDescent="0.2">
      <c r="M19" s="16"/>
      <c r="N19" s="16"/>
      <c r="O19" s="16"/>
      <c r="P19" s="16"/>
      <c r="Q19" s="16"/>
      <c r="R19" s="16"/>
    </row>
  </sheetData>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E093-0C7F-4C31-ADEE-7BF847E3DD90}">
  <sheetPr>
    <tabColor theme="8" tint="-0.249977111117893"/>
  </sheetPr>
  <dimension ref="A1:U150"/>
  <sheetViews>
    <sheetView showGridLines="0" zoomScale="85" zoomScaleNormal="85" workbookViewId="0">
      <selection activeCell="D126" activeCellId="7" sqref="D58 D76 D84 D93 D102 D110 D118 D126"/>
    </sheetView>
  </sheetViews>
  <sheetFormatPr defaultColWidth="9.140625" defaultRowHeight="21.75" x14ac:dyDescent="0.25"/>
  <cols>
    <col min="1" max="1" width="4" style="62" customWidth="1"/>
    <col min="2" max="2" width="38.28515625" style="65" customWidth="1"/>
    <col min="3" max="3" width="29.7109375" style="65" customWidth="1"/>
    <col min="4" max="4" width="18.7109375" style="62" customWidth="1"/>
    <col min="5" max="5" width="2.7109375" style="62" customWidth="1"/>
    <col min="6" max="9" width="18.7109375" style="62" customWidth="1"/>
    <col min="10" max="10" width="45.7109375" style="62" customWidth="1"/>
    <col min="11" max="14" width="18.7109375" style="62" customWidth="1"/>
    <col min="15" max="23" width="29.7109375" style="65" customWidth="1"/>
    <col min="24" max="16384" width="9.140625" style="65"/>
  </cols>
  <sheetData>
    <row r="1" spans="1:14" ht="57" customHeight="1" x14ac:dyDescent="0.25"/>
    <row r="2" spans="1:14" ht="31.5" customHeight="1" thickBot="1" x14ac:dyDescent="0.3">
      <c r="B2" s="80" t="s">
        <v>43</v>
      </c>
      <c r="C2" s="63"/>
      <c r="D2" s="64"/>
      <c r="E2" s="64"/>
      <c r="F2" s="64"/>
      <c r="G2" s="64"/>
      <c r="H2" s="64"/>
      <c r="I2" s="64"/>
    </row>
    <row r="3" spans="1:14" ht="14.25" customHeight="1" x14ac:dyDescent="0.25"/>
    <row r="4" spans="1:14" ht="14.25" customHeight="1" x14ac:dyDescent="0.25">
      <c r="B4" s="169" t="s">
        <v>127</v>
      </c>
      <c r="D4" s="66"/>
      <c r="F4" s="66"/>
      <c r="G4" s="66"/>
      <c r="H4" s="66"/>
      <c r="I4" s="66"/>
    </row>
    <row r="5" spans="1:14" ht="5.0999999999999996" customHeight="1" x14ac:dyDescent="0.25">
      <c r="F5" s="66"/>
      <c r="G5" s="66"/>
      <c r="H5" s="66"/>
      <c r="I5" s="66"/>
      <c r="J5" s="66"/>
      <c r="K5" s="66"/>
      <c r="L5" s="66"/>
      <c r="M5" s="66"/>
      <c r="N5" s="66"/>
    </row>
    <row r="6" spans="1:14" ht="15.75" customHeight="1" x14ac:dyDescent="0.25">
      <c r="A6" s="62" t="s">
        <v>44</v>
      </c>
      <c r="B6" s="67" t="s">
        <v>45</v>
      </c>
      <c r="C6" s="88"/>
      <c r="D6" s="68" t="s">
        <v>46</v>
      </c>
      <c r="F6" s="66"/>
      <c r="G6" s="66"/>
      <c r="H6" s="66"/>
      <c r="I6" s="66"/>
      <c r="J6" s="66"/>
      <c r="K6" s="66"/>
      <c r="L6" s="66"/>
      <c r="M6" s="66"/>
      <c r="N6" s="66"/>
    </row>
    <row r="7" spans="1:14" ht="5.0999999999999996" customHeight="1" x14ac:dyDescent="0.25">
      <c r="F7" s="66"/>
      <c r="G7" s="66"/>
      <c r="H7" s="66"/>
      <c r="I7" s="66"/>
      <c r="J7" s="66"/>
      <c r="K7" s="66"/>
      <c r="L7" s="66"/>
      <c r="M7" s="66"/>
      <c r="N7" s="66"/>
    </row>
    <row r="8" spans="1:14" s="89" customFormat="1" x14ac:dyDescent="0.25">
      <c r="B8" s="90" t="s">
        <v>47</v>
      </c>
      <c r="E8" s="62"/>
      <c r="F8" s="66"/>
      <c r="G8" s="66"/>
      <c r="H8" s="66"/>
      <c r="I8" s="66"/>
      <c r="J8" s="66"/>
      <c r="K8" s="66"/>
      <c r="L8" s="66"/>
      <c r="M8" s="66"/>
      <c r="N8" s="66"/>
    </row>
    <row r="9" spans="1:14" s="89" customFormat="1" x14ac:dyDescent="0.25">
      <c r="B9" s="89" t="s">
        <v>68</v>
      </c>
      <c r="D9" s="91">
        <v>10.6</v>
      </c>
      <c r="E9" s="62"/>
      <c r="F9" s="66"/>
      <c r="G9" s="66"/>
      <c r="H9" s="66"/>
      <c r="I9" s="66"/>
      <c r="J9" s="66"/>
      <c r="K9" s="66"/>
      <c r="L9" s="66"/>
      <c r="M9" s="66"/>
      <c r="N9" s="66"/>
    </row>
    <row r="10" spans="1:14" s="89" customFormat="1" x14ac:dyDescent="0.25">
      <c r="B10" s="89" t="s">
        <v>69</v>
      </c>
      <c r="D10" s="91">
        <v>7.75</v>
      </c>
      <c r="E10" s="62"/>
      <c r="F10" s="66"/>
      <c r="G10" s="66"/>
      <c r="H10" s="66"/>
      <c r="I10" s="66"/>
      <c r="J10" s="66"/>
      <c r="K10" s="66"/>
      <c r="L10" s="66"/>
      <c r="M10" s="66"/>
      <c r="N10" s="66"/>
    </row>
    <row r="11" spans="1:14" s="89" customFormat="1" x14ac:dyDescent="0.25">
      <c r="B11" s="89" t="s">
        <v>49</v>
      </c>
      <c r="C11" s="65"/>
      <c r="D11" s="73">
        <f>2208284.43+50066.87+49746.2+50198.71+50198.5+50229.78+50336</f>
        <v>2509060.4900000002</v>
      </c>
      <c r="E11" s="62"/>
      <c r="F11" s="66"/>
      <c r="G11" s="66"/>
      <c r="H11" s="66"/>
      <c r="I11" s="66"/>
      <c r="J11" s="66"/>
      <c r="K11" s="66"/>
      <c r="L11" s="66"/>
      <c r="M11" s="66"/>
      <c r="N11" s="66"/>
    </row>
    <row r="12" spans="1:14" s="89" customFormat="1" ht="5.0999999999999996" customHeight="1" x14ac:dyDescent="0.25">
      <c r="C12" s="65"/>
      <c r="D12" s="69"/>
      <c r="E12" s="62"/>
      <c r="F12" s="66"/>
      <c r="G12" s="66"/>
      <c r="H12" s="66"/>
      <c r="I12" s="66"/>
      <c r="J12" s="66"/>
      <c r="K12" s="66"/>
      <c r="L12" s="66"/>
      <c r="M12" s="66"/>
      <c r="N12" s="66"/>
    </row>
    <row r="13" spans="1:14" x14ac:dyDescent="0.25">
      <c r="B13" s="89" t="s">
        <v>50</v>
      </c>
      <c r="C13" s="89"/>
      <c r="D13" s="92">
        <f>D10-D9</f>
        <v>-2.8499999999999996</v>
      </c>
      <c r="F13" s="66"/>
      <c r="G13" s="66"/>
      <c r="H13" s="66"/>
      <c r="I13" s="66"/>
      <c r="J13" s="66"/>
      <c r="K13" s="66"/>
      <c r="L13" s="66"/>
      <c r="M13" s="66"/>
      <c r="N13" s="66"/>
    </row>
    <row r="14" spans="1:14" x14ac:dyDescent="0.25">
      <c r="B14" s="93" t="s">
        <v>0</v>
      </c>
      <c r="C14" s="94"/>
      <c r="D14" s="95">
        <f>D13*-D11</f>
        <v>7150822.3964999998</v>
      </c>
      <c r="F14" s="66"/>
      <c r="G14" s="66"/>
      <c r="H14" s="66"/>
      <c r="I14" s="66"/>
      <c r="J14" s="66"/>
      <c r="K14" s="66"/>
      <c r="L14" s="66"/>
      <c r="M14" s="66"/>
      <c r="N14" s="66"/>
    </row>
    <row r="15" spans="1:14" x14ac:dyDescent="0.25">
      <c r="D15" s="96"/>
      <c r="F15" s="66"/>
      <c r="G15" s="66"/>
      <c r="H15" s="66"/>
      <c r="I15" s="66"/>
      <c r="J15" s="66"/>
      <c r="K15" s="66"/>
      <c r="L15" s="66"/>
      <c r="M15" s="66"/>
      <c r="N15" s="66"/>
    </row>
    <row r="16" spans="1:14" x14ac:dyDescent="0.25">
      <c r="B16" s="90" t="s">
        <v>51</v>
      </c>
      <c r="D16" s="96"/>
      <c r="F16" s="165"/>
      <c r="G16" s="66"/>
      <c r="H16" s="66"/>
      <c r="I16" s="66"/>
      <c r="J16" s="66"/>
      <c r="K16" s="66"/>
      <c r="L16" s="66"/>
      <c r="M16" s="66"/>
      <c r="N16" s="66"/>
    </row>
    <row r="17" spans="1:14" x14ac:dyDescent="0.25">
      <c r="B17" s="89" t="s">
        <v>68</v>
      </c>
      <c r="C17" s="89"/>
      <c r="D17" s="91">
        <v>10.6</v>
      </c>
      <c r="F17" s="166"/>
      <c r="G17" s="66"/>
      <c r="H17" s="66"/>
      <c r="I17" s="66"/>
      <c r="J17" s="66"/>
      <c r="K17" s="66"/>
      <c r="L17" s="66"/>
      <c r="M17" s="66"/>
      <c r="N17" s="66"/>
    </row>
    <row r="18" spans="1:14" x14ac:dyDescent="0.25">
      <c r="B18" s="89" t="s">
        <v>69</v>
      </c>
      <c r="C18" s="89"/>
      <c r="D18" s="91">
        <v>8.75</v>
      </c>
      <c r="F18" s="66"/>
      <c r="G18" s="66"/>
      <c r="H18" s="66"/>
      <c r="I18" s="66"/>
      <c r="J18" s="66"/>
      <c r="K18" s="66"/>
      <c r="L18" s="66"/>
      <c r="M18" s="66"/>
      <c r="N18" s="66"/>
    </row>
    <row r="19" spans="1:14" x14ac:dyDescent="0.25">
      <c r="B19" s="89" t="s">
        <v>49</v>
      </c>
      <c r="D19" s="73">
        <f>228872.01+4941.64</f>
        <v>233813.65000000002</v>
      </c>
      <c r="F19" s="66"/>
      <c r="G19" s="66"/>
      <c r="H19" s="66"/>
      <c r="I19" s="66"/>
      <c r="J19" s="66"/>
      <c r="K19" s="66"/>
      <c r="L19" s="66"/>
      <c r="M19" s="66"/>
      <c r="N19" s="66"/>
    </row>
    <row r="20" spans="1:14" ht="5.0999999999999996" customHeight="1" x14ac:dyDescent="0.25">
      <c r="B20" s="89"/>
      <c r="D20" s="69"/>
      <c r="F20" s="66"/>
      <c r="G20" s="66"/>
      <c r="H20" s="66"/>
      <c r="I20" s="66"/>
      <c r="J20" s="66"/>
      <c r="K20" s="66"/>
      <c r="L20" s="66"/>
      <c r="M20" s="66"/>
      <c r="N20" s="66"/>
    </row>
    <row r="21" spans="1:14" x14ac:dyDescent="0.25">
      <c r="B21" s="89" t="s">
        <v>50</v>
      </c>
      <c r="C21" s="89"/>
      <c r="D21" s="92">
        <f>D18-D17</f>
        <v>-1.8499999999999996</v>
      </c>
      <c r="F21" s="66"/>
      <c r="G21" s="66"/>
      <c r="H21" s="66"/>
      <c r="I21" s="66"/>
      <c r="J21" s="66"/>
      <c r="K21" s="66"/>
      <c r="L21" s="66"/>
      <c r="M21" s="66"/>
      <c r="N21" s="66"/>
    </row>
    <row r="22" spans="1:14" x14ac:dyDescent="0.25">
      <c r="B22" s="93" t="s">
        <v>0</v>
      </c>
      <c r="C22" s="94"/>
      <c r="D22" s="95">
        <f>D21*-D19</f>
        <v>432555.25249999994</v>
      </c>
      <c r="F22" s="66"/>
      <c r="G22" s="66"/>
      <c r="H22" s="66"/>
      <c r="I22" s="66"/>
      <c r="J22" s="66"/>
      <c r="K22" s="66"/>
      <c r="L22" s="66"/>
      <c r="M22" s="66"/>
      <c r="N22" s="66"/>
    </row>
    <row r="23" spans="1:14" x14ac:dyDescent="0.25">
      <c r="F23" s="66"/>
      <c r="G23" s="66"/>
      <c r="H23" s="66"/>
      <c r="I23" s="66"/>
      <c r="J23" s="66"/>
      <c r="K23" s="66"/>
      <c r="L23" s="66"/>
      <c r="M23" s="66"/>
      <c r="N23" s="66"/>
    </row>
    <row r="24" spans="1:14" x14ac:dyDescent="0.25">
      <c r="F24" s="66"/>
      <c r="G24" s="66"/>
      <c r="H24" s="66"/>
      <c r="I24" s="66"/>
      <c r="J24" s="66"/>
      <c r="K24" s="66"/>
      <c r="L24" s="66"/>
      <c r="M24" s="66"/>
      <c r="N24" s="66"/>
    </row>
    <row r="25" spans="1:14" ht="15.75" customHeight="1" x14ac:dyDescent="0.25">
      <c r="A25" s="62" t="s">
        <v>44</v>
      </c>
      <c r="B25" s="67" t="s">
        <v>52</v>
      </c>
      <c r="C25" s="88"/>
      <c r="D25" s="68" t="s">
        <v>46</v>
      </c>
      <c r="F25" s="66"/>
      <c r="G25" s="66"/>
      <c r="H25" s="66"/>
      <c r="I25" s="66"/>
      <c r="J25" s="66"/>
      <c r="K25" s="66"/>
      <c r="L25" s="66"/>
      <c r="M25" s="66"/>
      <c r="N25" s="66"/>
    </row>
    <row r="26" spans="1:14" ht="5.0999999999999996" customHeight="1" x14ac:dyDescent="0.25">
      <c r="F26" s="66"/>
      <c r="G26" s="66"/>
      <c r="H26" s="66"/>
      <c r="I26" s="66"/>
      <c r="J26" s="66"/>
      <c r="K26" s="66"/>
      <c r="L26" s="66"/>
      <c r="M26" s="66"/>
      <c r="N26" s="66"/>
    </row>
    <row r="27" spans="1:14" s="89" customFormat="1" x14ac:dyDescent="0.25">
      <c r="B27" s="90" t="s">
        <v>53</v>
      </c>
      <c r="E27" s="62"/>
      <c r="F27" s="66"/>
      <c r="G27" s="66"/>
      <c r="H27" s="66"/>
      <c r="I27" s="66"/>
      <c r="J27" s="66"/>
      <c r="K27" s="66"/>
      <c r="L27" s="66"/>
      <c r="M27" s="66"/>
      <c r="N27" s="66"/>
    </row>
    <row r="28" spans="1:14" s="89" customFormat="1" x14ac:dyDescent="0.25">
      <c r="B28" s="89" t="s">
        <v>70</v>
      </c>
      <c r="D28" s="69">
        <v>510000</v>
      </c>
      <c r="E28" s="62"/>
      <c r="F28" s="66"/>
      <c r="G28" s="66"/>
      <c r="H28" s="66"/>
      <c r="I28" s="66"/>
      <c r="J28" s="66"/>
      <c r="K28" s="66"/>
      <c r="L28" s="66"/>
      <c r="M28" s="66"/>
      <c r="N28" s="66"/>
    </row>
    <row r="29" spans="1:14" s="89" customFormat="1" x14ac:dyDescent="0.25">
      <c r="B29" s="89" t="s">
        <v>71</v>
      </c>
      <c r="C29" s="65"/>
      <c r="D29" s="70">
        <v>7.5</v>
      </c>
      <c r="E29" s="62"/>
      <c r="F29" s="66"/>
      <c r="G29" s="66"/>
      <c r="H29" s="66"/>
      <c r="I29" s="66"/>
      <c r="J29" s="66"/>
      <c r="K29" s="66"/>
      <c r="L29" s="66"/>
      <c r="M29" s="66"/>
      <c r="N29" s="66"/>
    </row>
    <row r="30" spans="1:14" s="89" customFormat="1" x14ac:dyDescent="0.25">
      <c r="B30" s="89" t="s">
        <v>72</v>
      </c>
      <c r="C30" s="65"/>
      <c r="D30" s="70">
        <v>0</v>
      </c>
      <c r="E30" s="62"/>
      <c r="F30" s="66"/>
      <c r="G30" s="66"/>
      <c r="H30" s="66"/>
      <c r="I30" s="66"/>
      <c r="J30" s="66"/>
      <c r="K30" s="66"/>
      <c r="L30" s="66"/>
      <c r="M30" s="66"/>
      <c r="N30" s="66"/>
    </row>
    <row r="31" spans="1:14" s="89" customFormat="1" ht="5.0999999999999996" customHeight="1" x14ac:dyDescent="0.25">
      <c r="C31" s="65"/>
      <c r="D31" s="70"/>
      <c r="E31" s="62"/>
      <c r="F31" s="66"/>
      <c r="G31" s="66"/>
      <c r="H31" s="66"/>
      <c r="I31" s="66"/>
      <c r="J31" s="66"/>
      <c r="K31" s="66"/>
      <c r="L31" s="66"/>
      <c r="M31" s="66"/>
      <c r="N31" s="66"/>
    </row>
    <row r="32" spans="1:14" x14ac:dyDescent="0.25">
      <c r="B32" s="89" t="s">
        <v>54</v>
      </c>
      <c r="C32" s="89"/>
      <c r="D32" s="97">
        <f>12-D30</f>
        <v>12</v>
      </c>
      <c r="F32" s="66"/>
      <c r="G32" s="66"/>
      <c r="H32" s="66"/>
      <c r="I32" s="66"/>
      <c r="J32" s="66"/>
      <c r="K32" s="66"/>
      <c r="L32" s="66"/>
      <c r="M32" s="66"/>
      <c r="N32" s="66"/>
    </row>
    <row r="33" spans="1:14" x14ac:dyDescent="0.25">
      <c r="B33" s="93" t="s">
        <v>0</v>
      </c>
      <c r="C33" s="94"/>
      <c r="D33" s="95">
        <f>(D29-D30)*D28</f>
        <v>3825000</v>
      </c>
      <c r="F33" s="66"/>
      <c r="G33" s="165"/>
      <c r="H33" s="66"/>
      <c r="I33" s="66"/>
      <c r="J33" s="66"/>
      <c r="K33" s="66"/>
      <c r="L33" s="66"/>
      <c r="M33" s="66"/>
      <c r="N33" s="66"/>
    </row>
    <row r="34" spans="1:14" x14ac:dyDescent="0.25">
      <c r="F34" s="66"/>
      <c r="G34" s="66"/>
      <c r="H34" s="66"/>
      <c r="I34" s="66"/>
      <c r="J34" s="66"/>
      <c r="K34" s="66"/>
      <c r="L34" s="66"/>
      <c r="M34" s="66"/>
      <c r="N34" s="66"/>
    </row>
    <row r="35" spans="1:14" x14ac:dyDescent="0.25">
      <c r="F35" s="66"/>
      <c r="G35" s="66"/>
      <c r="H35" s="66"/>
      <c r="I35" s="66"/>
      <c r="J35" s="66"/>
      <c r="K35" s="66"/>
      <c r="L35" s="66"/>
      <c r="M35" s="66"/>
      <c r="N35" s="66"/>
    </row>
    <row r="36" spans="1:14" ht="15.75" customHeight="1" x14ac:dyDescent="0.25">
      <c r="A36" s="62" t="s">
        <v>44</v>
      </c>
      <c r="B36" s="67" t="s">
        <v>55</v>
      </c>
      <c r="C36" s="88"/>
      <c r="D36" s="68" t="s">
        <v>46</v>
      </c>
      <c r="F36" s="66"/>
      <c r="G36" s="66"/>
      <c r="H36" s="66"/>
      <c r="I36" s="66"/>
      <c r="J36" s="66"/>
      <c r="K36" s="66"/>
      <c r="L36" s="66"/>
      <c r="M36" s="66"/>
      <c r="N36" s="66"/>
    </row>
    <row r="37" spans="1:14" ht="5.0999999999999996" customHeight="1" x14ac:dyDescent="0.25">
      <c r="F37" s="66"/>
      <c r="G37" s="66"/>
      <c r="H37" s="66"/>
      <c r="I37" s="66"/>
      <c r="J37" s="66"/>
      <c r="K37" s="66"/>
      <c r="L37" s="66"/>
      <c r="M37" s="66"/>
      <c r="N37" s="66"/>
    </row>
    <row r="38" spans="1:14" s="89" customFormat="1" x14ac:dyDescent="0.25">
      <c r="B38" s="90" t="s">
        <v>56</v>
      </c>
      <c r="E38" s="62"/>
      <c r="F38" s="66"/>
      <c r="G38" s="66"/>
      <c r="H38" s="66"/>
      <c r="I38" s="66"/>
      <c r="J38" s="66"/>
      <c r="K38" s="66"/>
      <c r="L38" s="66"/>
      <c r="M38" s="66"/>
      <c r="N38" s="66"/>
    </row>
    <row r="39" spans="1:14" s="89" customFormat="1" x14ac:dyDescent="0.25">
      <c r="B39" s="89" t="s">
        <v>73</v>
      </c>
      <c r="D39" s="71">
        <v>2.78</v>
      </c>
      <c r="E39" s="62"/>
      <c r="F39" s="66"/>
      <c r="G39" s="66"/>
      <c r="H39" s="66"/>
      <c r="I39" s="66"/>
      <c r="J39" s="66"/>
      <c r="K39" s="66"/>
      <c r="L39" s="66"/>
      <c r="M39" s="66"/>
      <c r="N39" s="66"/>
    </row>
    <row r="40" spans="1:14" s="89" customFormat="1" x14ac:dyDescent="0.25">
      <c r="B40" s="89" t="s">
        <v>74</v>
      </c>
      <c r="D40" s="71">
        <v>4.3</v>
      </c>
      <c r="E40" s="62"/>
      <c r="F40" s="66"/>
      <c r="G40" s="66"/>
      <c r="H40" s="66"/>
      <c r="I40" s="66"/>
      <c r="J40" s="66"/>
      <c r="K40" s="66"/>
      <c r="L40" s="66"/>
      <c r="M40" s="66"/>
      <c r="N40" s="66"/>
    </row>
    <row r="41" spans="1:14" s="89" customFormat="1" x14ac:dyDescent="0.25">
      <c r="B41" s="89" t="s">
        <v>75</v>
      </c>
      <c r="C41" s="65"/>
      <c r="D41" s="71">
        <v>0.88</v>
      </c>
      <c r="E41" s="62"/>
      <c r="F41" s="66"/>
      <c r="G41" s="66"/>
      <c r="H41" s="66"/>
      <c r="I41" s="66"/>
      <c r="J41" s="66"/>
      <c r="K41" s="66"/>
      <c r="L41" s="66"/>
      <c r="M41" s="66"/>
      <c r="N41" s="66"/>
    </row>
    <row r="42" spans="1:14" s="89" customFormat="1" x14ac:dyDescent="0.25">
      <c r="B42" s="89" t="s">
        <v>76</v>
      </c>
      <c r="C42" s="65"/>
      <c r="D42" s="71">
        <v>0</v>
      </c>
      <c r="E42" s="62"/>
      <c r="F42" s="66"/>
      <c r="G42" s="66"/>
      <c r="H42" s="66"/>
      <c r="I42" s="66"/>
      <c r="J42" s="66"/>
      <c r="K42" s="66"/>
      <c r="L42" s="66"/>
      <c r="M42" s="66"/>
      <c r="N42" s="66"/>
    </row>
    <row r="43" spans="1:14" s="89" customFormat="1" ht="5.0999999999999996" customHeight="1" x14ac:dyDescent="0.25">
      <c r="C43" s="65"/>
      <c r="D43" s="71"/>
      <c r="E43" s="62"/>
      <c r="F43" s="66"/>
      <c r="G43" s="66"/>
      <c r="H43" s="66"/>
      <c r="I43" s="66"/>
      <c r="J43" s="66"/>
      <c r="K43" s="66"/>
      <c r="L43" s="66"/>
      <c r="M43" s="66"/>
      <c r="N43" s="66"/>
    </row>
    <row r="44" spans="1:14" x14ac:dyDescent="0.25">
      <c r="B44" s="89" t="s">
        <v>57</v>
      </c>
      <c r="C44" s="89"/>
      <c r="D44" s="92">
        <f>IF((SUM(D39,D41)-SUM(D40,D42))&lt;0,0,(SUM(D39,D41)-SUM(D40,D42)))</f>
        <v>0</v>
      </c>
      <c r="F44" s="66"/>
      <c r="G44" s="66"/>
      <c r="H44" s="66"/>
      <c r="I44" s="66"/>
      <c r="J44" s="66"/>
      <c r="K44" s="66"/>
      <c r="L44" s="66"/>
      <c r="M44" s="66"/>
      <c r="N44" s="66"/>
    </row>
    <row r="45" spans="1:14" x14ac:dyDescent="0.25">
      <c r="B45" s="89" t="s">
        <v>58</v>
      </c>
      <c r="C45" s="89"/>
      <c r="D45" s="71">
        <v>0</v>
      </c>
      <c r="F45" s="66"/>
      <c r="G45" s="66"/>
      <c r="H45" s="66"/>
      <c r="I45" s="66"/>
      <c r="J45" s="66"/>
      <c r="K45" s="66"/>
      <c r="L45" s="66"/>
      <c r="M45" s="66"/>
      <c r="N45" s="66"/>
    </row>
    <row r="46" spans="1:14" x14ac:dyDescent="0.25">
      <c r="B46" s="93" t="s">
        <v>0</v>
      </c>
      <c r="C46" s="94"/>
      <c r="D46" s="95">
        <f>D45*D44</f>
        <v>0</v>
      </c>
      <c r="F46" s="66"/>
      <c r="G46" s="66"/>
      <c r="H46" s="66"/>
      <c r="I46" s="66"/>
      <c r="J46" s="66"/>
      <c r="K46" s="66"/>
      <c r="L46" s="66"/>
      <c r="M46" s="66"/>
      <c r="N46" s="66"/>
    </row>
    <row r="47" spans="1:14" x14ac:dyDescent="0.25">
      <c r="F47" s="66"/>
      <c r="G47" s="66"/>
      <c r="H47" s="66"/>
      <c r="I47" s="66"/>
      <c r="J47" s="66"/>
      <c r="K47" s="66"/>
      <c r="L47" s="66"/>
      <c r="M47" s="66"/>
      <c r="N47" s="66"/>
    </row>
    <row r="48" spans="1:14" x14ac:dyDescent="0.25">
      <c r="F48" s="66"/>
      <c r="G48" s="66"/>
      <c r="H48" s="66"/>
      <c r="I48" s="66"/>
      <c r="J48" s="66"/>
      <c r="K48" s="66"/>
      <c r="L48" s="66"/>
      <c r="M48" s="66"/>
      <c r="N48" s="66"/>
    </row>
    <row r="49" spans="1:14" ht="15.75" customHeight="1" x14ac:dyDescent="0.25">
      <c r="A49" s="62" t="s">
        <v>44</v>
      </c>
      <c r="B49" s="67" t="s">
        <v>59</v>
      </c>
      <c r="C49" s="88"/>
      <c r="D49" s="68" t="s">
        <v>46</v>
      </c>
      <c r="F49" s="66"/>
      <c r="G49" s="66"/>
      <c r="H49" s="66"/>
      <c r="I49" s="66"/>
      <c r="J49" s="66"/>
      <c r="K49" s="66"/>
      <c r="L49" s="66"/>
      <c r="M49" s="66"/>
      <c r="N49" s="66"/>
    </row>
    <row r="50" spans="1:14" ht="5.0999999999999996" customHeight="1" x14ac:dyDescent="0.25">
      <c r="F50" s="66"/>
      <c r="G50" s="66"/>
      <c r="H50" s="66"/>
      <c r="I50" s="66"/>
      <c r="J50" s="66"/>
      <c r="K50" s="66"/>
      <c r="L50" s="66"/>
      <c r="M50" s="66"/>
      <c r="N50" s="66"/>
    </row>
    <row r="51" spans="1:14" s="89" customFormat="1" x14ac:dyDescent="0.25">
      <c r="B51" s="90" t="s">
        <v>60</v>
      </c>
      <c r="D51" s="98"/>
      <c r="E51" s="62"/>
      <c r="F51" s="66"/>
      <c r="G51" s="66"/>
      <c r="H51" s="66"/>
      <c r="I51" s="66"/>
      <c r="J51" s="66"/>
      <c r="K51" s="66"/>
      <c r="L51" s="66"/>
      <c r="M51" s="66"/>
      <c r="N51" s="66"/>
    </row>
    <row r="52" spans="1:14" s="89" customFormat="1" x14ac:dyDescent="0.25">
      <c r="B52" s="89" t="s">
        <v>74</v>
      </c>
      <c r="D52" s="71">
        <v>4.3</v>
      </c>
      <c r="E52" s="62"/>
      <c r="F52" s="66"/>
      <c r="G52" s="66"/>
      <c r="H52" s="66"/>
      <c r="I52" s="66"/>
      <c r="J52" s="66"/>
      <c r="K52" s="66"/>
      <c r="L52" s="66"/>
      <c r="M52" s="66"/>
      <c r="N52" s="66"/>
    </row>
    <row r="53" spans="1:14" s="89" customFormat="1" x14ac:dyDescent="0.25">
      <c r="B53" s="89" t="s">
        <v>61</v>
      </c>
      <c r="C53" s="65"/>
      <c r="D53" s="71">
        <v>2.98</v>
      </c>
      <c r="E53" s="62"/>
      <c r="F53" s="66"/>
      <c r="G53" s="66"/>
      <c r="H53" s="66"/>
      <c r="I53" s="66"/>
      <c r="J53" s="66"/>
      <c r="K53" s="66"/>
      <c r="L53" s="66"/>
      <c r="M53" s="66"/>
      <c r="N53" s="66"/>
    </row>
    <row r="54" spans="1:14" s="89" customFormat="1" x14ac:dyDescent="0.25">
      <c r="B54" s="89" t="s">
        <v>77</v>
      </c>
      <c r="C54" s="65"/>
      <c r="D54" s="72">
        <f>D52-D53</f>
        <v>1.3199999999999998</v>
      </c>
      <c r="E54" s="62"/>
      <c r="F54" s="66"/>
      <c r="G54" s="66"/>
      <c r="H54" s="66"/>
      <c r="I54" s="66"/>
      <c r="J54" s="66"/>
      <c r="K54" s="66"/>
      <c r="L54" s="66"/>
      <c r="M54" s="66"/>
      <c r="N54" s="66"/>
    </row>
    <row r="55" spans="1:14" s="89" customFormat="1" ht="5.0999999999999996" customHeight="1" x14ac:dyDescent="0.25">
      <c r="C55" s="65"/>
      <c r="D55" s="73"/>
      <c r="E55" s="62"/>
      <c r="F55" s="66"/>
      <c r="G55" s="66"/>
      <c r="H55" s="66"/>
      <c r="I55" s="66"/>
      <c r="J55" s="66"/>
      <c r="K55" s="66"/>
      <c r="L55" s="66"/>
      <c r="M55" s="66"/>
      <c r="N55" s="66"/>
    </row>
    <row r="56" spans="1:14" s="89" customFormat="1" x14ac:dyDescent="0.25">
      <c r="B56" s="89" t="s">
        <v>1</v>
      </c>
      <c r="C56" s="65"/>
      <c r="D56" s="70">
        <v>89366.38</v>
      </c>
      <c r="E56" s="62"/>
      <c r="F56" s="66"/>
      <c r="G56" s="66"/>
      <c r="H56" s="66"/>
      <c r="I56" s="66"/>
      <c r="J56" s="66"/>
      <c r="K56" s="66"/>
      <c r="L56" s="66"/>
      <c r="M56" s="66"/>
      <c r="N56" s="66"/>
    </row>
    <row r="57" spans="1:14" s="89" customFormat="1" ht="5.0999999999999996" customHeight="1" x14ac:dyDescent="0.25">
      <c r="C57" s="65"/>
      <c r="D57" s="69"/>
      <c r="E57" s="62"/>
      <c r="F57" s="66"/>
      <c r="G57" s="66"/>
      <c r="H57" s="66"/>
      <c r="I57" s="66"/>
      <c r="J57" s="66"/>
      <c r="K57" s="66"/>
      <c r="L57" s="66"/>
      <c r="M57" s="66"/>
      <c r="N57" s="66"/>
    </row>
    <row r="58" spans="1:14" x14ac:dyDescent="0.25">
      <c r="B58" s="93" t="s">
        <v>0</v>
      </c>
      <c r="C58" s="94"/>
      <c r="D58" s="95">
        <f>D56*D54</f>
        <v>117963.6216</v>
      </c>
      <c r="F58" s="66"/>
      <c r="G58" s="66"/>
      <c r="H58" s="66"/>
      <c r="I58" s="66"/>
      <c r="J58" s="66"/>
      <c r="K58" s="66"/>
      <c r="L58" s="66"/>
      <c r="M58" s="66"/>
      <c r="N58" s="66"/>
    </row>
    <row r="59" spans="1:14" x14ac:dyDescent="0.25">
      <c r="F59" s="66"/>
      <c r="G59" s="66"/>
      <c r="H59" s="66"/>
      <c r="I59" s="66"/>
      <c r="J59" s="66"/>
      <c r="K59" s="66"/>
      <c r="L59" s="66"/>
      <c r="M59" s="66"/>
      <c r="N59" s="66"/>
    </row>
    <row r="60" spans="1:14" s="89" customFormat="1" x14ac:dyDescent="0.25">
      <c r="B60" s="89" t="s">
        <v>74</v>
      </c>
      <c r="D60" s="71">
        <v>4.3</v>
      </c>
      <c r="E60" s="62"/>
      <c r="F60" s="66"/>
      <c r="G60" s="66"/>
      <c r="H60" s="66"/>
      <c r="I60" s="66"/>
      <c r="J60" s="66"/>
      <c r="K60" s="66"/>
      <c r="L60" s="66"/>
      <c r="M60" s="66"/>
      <c r="N60" s="66"/>
    </row>
    <row r="61" spans="1:14" s="89" customFormat="1" x14ac:dyDescent="0.25">
      <c r="B61" s="89" t="s">
        <v>78</v>
      </c>
      <c r="C61" s="65"/>
      <c r="D61" s="71">
        <v>0</v>
      </c>
      <c r="E61" s="62"/>
      <c r="F61" s="66"/>
      <c r="G61" s="66"/>
      <c r="H61" s="66"/>
      <c r="I61" s="66"/>
      <c r="J61" s="66"/>
      <c r="K61" s="66"/>
      <c r="L61" s="66"/>
      <c r="M61" s="66"/>
      <c r="N61" s="66"/>
    </row>
    <row r="62" spans="1:14" s="89" customFormat="1" x14ac:dyDescent="0.25">
      <c r="B62" s="89" t="s">
        <v>62</v>
      </c>
      <c r="C62" s="65"/>
      <c r="D62" s="72">
        <f>D60-D61</f>
        <v>4.3</v>
      </c>
      <c r="E62" s="62"/>
      <c r="F62" s="66"/>
      <c r="G62" s="66"/>
      <c r="H62" s="66"/>
      <c r="I62" s="66"/>
      <c r="J62" s="66"/>
      <c r="K62" s="66"/>
      <c r="L62" s="66"/>
      <c r="M62" s="66"/>
      <c r="N62" s="66"/>
    </row>
    <row r="63" spans="1:14" s="89" customFormat="1" ht="5.0999999999999996" customHeight="1" x14ac:dyDescent="0.25">
      <c r="C63" s="65"/>
      <c r="D63" s="73"/>
      <c r="E63" s="62"/>
      <c r="F63" s="66"/>
      <c r="G63" s="66"/>
      <c r="H63" s="66"/>
      <c r="I63" s="66"/>
      <c r="J63" s="66"/>
      <c r="K63" s="66"/>
      <c r="L63" s="66"/>
      <c r="M63" s="66"/>
      <c r="N63" s="66"/>
    </row>
    <row r="64" spans="1:14" s="89" customFormat="1" x14ac:dyDescent="0.25">
      <c r="B64" s="89" t="s">
        <v>1</v>
      </c>
      <c r="C64" s="65"/>
      <c r="D64" s="70">
        <v>0</v>
      </c>
      <c r="E64" s="62"/>
      <c r="F64" s="66"/>
      <c r="G64" s="66"/>
      <c r="H64" s="66"/>
      <c r="I64" s="66"/>
      <c r="J64" s="66"/>
      <c r="K64" s="66"/>
      <c r="L64" s="66"/>
      <c r="M64" s="66"/>
      <c r="N64" s="66"/>
    </row>
    <row r="65" spans="1:14" s="89" customFormat="1" ht="5.0999999999999996" customHeight="1" x14ac:dyDescent="0.25">
      <c r="C65" s="65"/>
      <c r="D65" s="69"/>
      <c r="E65" s="62"/>
      <c r="F65" s="66"/>
      <c r="G65" s="66"/>
      <c r="H65" s="66"/>
      <c r="I65" s="66"/>
      <c r="J65" s="66"/>
      <c r="K65" s="66"/>
      <c r="L65" s="66"/>
      <c r="M65" s="66"/>
      <c r="N65" s="66"/>
    </row>
    <row r="66" spans="1:14" x14ac:dyDescent="0.25">
      <c r="A66" s="65"/>
      <c r="B66" s="93" t="s">
        <v>0</v>
      </c>
      <c r="C66" s="94"/>
      <c r="D66" s="95">
        <f>D64*D62</f>
        <v>0</v>
      </c>
      <c r="F66" s="66"/>
      <c r="G66" s="66"/>
      <c r="H66" s="66"/>
      <c r="I66" s="66"/>
      <c r="J66" s="66"/>
      <c r="K66" s="66"/>
      <c r="L66" s="66"/>
      <c r="M66" s="66"/>
      <c r="N66" s="66"/>
    </row>
    <row r="67" spans="1:14" x14ac:dyDescent="0.25">
      <c r="F67" s="66"/>
      <c r="G67" s="66"/>
      <c r="H67" s="66"/>
      <c r="I67" s="66"/>
      <c r="J67" s="66"/>
      <c r="K67" s="66"/>
      <c r="L67" s="66"/>
      <c r="M67" s="66"/>
      <c r="N67" s="66"/>
    </row>
    <row r="68" spans="1:14" x14ac:dyDescent="0.25">
      <c r="F68" s="66"/>
      <c r="G68" s="66"/>
      <c r="H68" s="66"/>
      <c r="I68" s="66"/>
      <c r="J68" s="66"/>
      <c r="K68" s="66"/>
      <c r="L68" s="66"/>
      <c r="M68" s="66"/>
      <c r="N68" s="66"/>
    </row>
    <row r="69" spans="1:14" s="89" customFormat="1" x14ac:dyDescent="0.25">
      <c r="B69" s="90" t="s">
        <v>63</v>
      </c>
      <c r="E69" s="62"/>
      <c r="F69" s="66"/>
      <c r="G69" s="66"/>
      <c r="H69" s="66"/>
      <c r="I69" s="66"/>
      <c r="J69" s="66"/>
      <c r="K69" s="66"/>
      <c r="L69" s="66"/>
      <c r="M69" s="66"/>
      <c r="N69" s="66"/>
    </row>
    <row r="70" spans="1:14" s="89" customFormat="1" x14ac:dyDescent="0.25">
      <c r="B70" s="89" t="s">
        <v>48</v>
      </c>
      <c r="D70" s="71">
        <v>7.75</v>
      </c>
      <c r="E70" s="62"/>
      <c r="F70" s="66"/>
      <c r="G70" s="66"/>
      <c r="H70" s="66"/>
      <c r="I70" s="66"/>
      <c r="J70" s="66"/>
      <c r="K70" s="66"/>
      <c r="L70" s="66"/>
      <c r="M70" s="66"/>
      <c r="N70" s="66"/>
    </row>
    <row r="71" spans="1:14" s="89" customFormat="1" x14ac:dyDescent="0.25">
      <c r="B71" s="89" t="s">
        <v>64</v>
      </c>
      <c r="C71" s="65"/>
      <c r="D71" s="71">
        <v>5.65</v>
      </c>
      <c r="E71" s="62"/>
      <c r="F71" s="66"/>
      <c r="G71" s="66"/>
      <c r="H71" s="66"/>
      <c r="I71" s="66"/>
      <c r="J71" s="66"/>
      <c r="K71" s="66"/>
      <c r="L71" s="66"/>
      <c r="M71" s="66"/>
      <c r="N71" s="66"/>
    </row>
    <row r="72" spans="1:14" s="89" customFormat="1" x14ac:dyDescent="0.25">
      <c r="B72" s="89" t="s">
        <v>62</v>
      </c>
      <c r="C72" s="65"/>
      <c r="D72" s="72">
        <f>D70-D71</f>
        <v>2.0999999999999996</v>
      </c>
      <c r="E72" s="62"/>
      <c r="F72" s="66"/>
      <c r="G72" s="66"/>
      <c r="H72" s="66"/>
      <c r="I72" s="66"/>
      <c r="J72" s="66"/>
      <c r="K72" s="66"/>
      <c r="L72" s="66"/>
      <c r="M72" s="66"/>
      <c r="N72" s="66"/>
    </row>
    <row r="73" spans="1:14" s="89" customFormat="1" ht="5.0999999999999996" customHeight="1" x14ac:dyDescent="0.25">
      <c r="C73" s="65"/>
      <c r="D73" s="73"/>
      <c r="E73" s="62"/>
      <c r="F73" s="66"/>
      <c r="G73" s="66"/>
      <c r="H73" s="66"/>
      <c r="I73" s="66"/>
      <c r="J73" s="66"/>
      <c r="K73" s="66"/>
      <c r="L73" s="66"/>
      <c r="M73" s="66"/>
      <c r="N73" s="66"/>
    </row>
    <row r="74" spans="1:14" s="89" customFormat="1" x14ac:dyDescent="0.25">
      <c r="B74" s="89" t="s">
        <v>1</v>
      </c>
      <c r="C74" s="65"/>
      <c r="D74" s="70">
        <v>50066.87</v>
      </c>
      <c r="E74" s="62"/>
      <c r="F74" s="66"/>
      <c r="G74" s="66"/>
      <c r="H74" s="66"/>
      <c r="I74" s="66"/>
      <c r="J74" s="66"/>
      <c r="K74" s="66"/>
      <c r="L74" s="66"/>
      <c r="M74" s="66"/>
      <c r="N74" s="66"/>
    </row>
    <row r="75" spans="1:14" s="89" customFormat="1" ht="5.0999999999999996" customHeight="1" x14ac:dyDescent="0.25">
      <c r="C75" s="65"/>
      <c r="D75" s="69"/>
      <c r="E75" s="62"/>
      <c r="F75" s="66"/>
      <c r="G75" s="66"/>
      <c r="H75" s="66"/>
      <c r="I75" s="66"/>
      <c r="J75" s="66"/>
      <c r="K75" s="66"/>
      <c r="L75" s="66"/>
      <c r="M75" s="66"/>
      <c r="N75" s="66"/>
    </row>
    <row r="76" spans="1:14" x14ac:dyDescent="0.25">
      <c r="A76" s="65"/>
      <c r="B76" s="93" t="s">
        <v>0</v>
      </c>
      <c r="C76" s="94"/>
      <c r="D76" s="95">
        <f>D74*D72</f>
        <v>105140.42699999998</v>
      </c>
      <c r="F76" s="66"/>
      <c r="G76" s="66"/>
      <c r="H76" s="66"/>
      <c r="I76" s="66"/>
      <c r="J76" s="66"/>
      <c r="K76" s="66"/>
      <c r="L76" s="66"/>
      <c r="M76" s="66"/>
      <c r="N76" s="66"/>
    </row>
    <row r="77" spans="1:14" x14ac:dyDescent="0.25">
      <c r="F77" s="66"/>
      <c r="G77" s="66"/>
      <c r="H77" s="66"/>
      <c r="I77" s="66"/>
      <c r="J77" s="66"/>
      <c r="K77" s="66"/>
      <c r="L77" s="66"/>
      <c r="M77" s="66"/>
      <c r="N77" s="66"/>
    </row>
    <row r="78" spans="1:14" s="89" customFormat="1" x14ac:dyDescent="0.25">
      <c r="B78" s="89" t="s">
        <v>48</v>
      </c>
      <c r="D78" s="71">
        <v>7.75</v>
      </c>
      <c r="E78" s="62"/>
      <c r="F78" s="66"/>
      <c r="G78" s="66"/>
      <c r="H78" s="66"/>
      <c r="I78" s="66"/>
      <c r="J78" s="66"/>
      <c r="K78" s="66"/>
      <c r="L78" s="66"/>
      <c r="M78" s="66"/>
      <c r="N78" s="66"/>
    </row>
    <row r="79" spans="1:14" s="89" customFormat="1" x14ac:dyDescent="0.25">
      <c r="B79" s="89" t="s">
        <v>64</v>
      </c>
      <c r="C79" s="65"/>
      <c r="D79" s="71">
        <v>5.65</v>
      </c>
      <c r="E79" s="62"/>
      <c r="F79" s="66"/>
      <c r="G79" s="66"/>
      <c r="H79" s="66"/>
      <c r="I79" s="66"/>
      <c r="J79" s="66"/>
      <c r="K79" s="66"/>
      <c r="L79" s="66"/>
      <c r="M79" s="66"/>
      <c r="N79" s="66"/>
    </row>
    <row r="80" spans="1:14" s="89" customFormat="1" x14ac:dyDescent="0.25">
      <c r="B80" s="89" t="s">
        <v>62</v>
      </c>
      <c r="C80" s="65"/>
      <c r="D80" s="72">
        <f>D78-D79</f>
        <v>2.0999999999999996</v>
      </c>
      <c r="E80" s="62"/>
      <c r="F80" s="66"/>
      <c r="G80" s="66"/>
      <c r="H80" s="66"/>
      <c r="I80" s="66"/>
      <c r="J80" s="66"/>
      <c r="K80" s="66"/>
      <c r="L80" s="66"/>
      <c r="M80" s="66"/>
      <c r="N80" s="66"/>
    </row>
    <row r="81" spans="1:14" s="89" customFormat="1" ht="5.0999999999999996" customHeight="1" x14ac:dyDescent="0.25">
      <c r="C81" s="65"/>
      <c r="D81" s="73"/>
      <c r="E81" s="62"/>
      <c r="F81" s="66"/>
      <c r="G81" s="66"/>
      <c r="H81" s="66"/>
      <c r="I81" s="66"/>
      <c r="J81" s="66"/>
      <c r="K81" s="66"/>
      <c r="L81" s="66"/>
      <c r="M81" s="66"/>
      <c r="N81" s="66"/>
    </row>
    <row r="82" spans="1:14" s="89" customFormat="1" x14ac:dyDescent="0.25">
      <c r="B82" s="89" t="s">
        <v>1</v>
      </c>
      <c r="C82" s="65"/>
      <c r="D82" s="70">
        <v>49746.2</v>
      </c>
      <c r="E82" s="62"/>
      <c r="F82" s="66"/>
      <c r="G82" s="66"/>
      <c r="H82" s="66"/>
      <c r="I82" s="66"/>
      <c r="J82" s="66"/>
      <c r="K82" s="66"/>
      <c r="L82" s="66"/>
      <c r="M82" s="66"/>
      <c r="N82" s="66"/>
    </row>
    <row r="83" spans="1:14" s="89" customFormat="1" ht="5.0999999999999996" customHeight="1" x14ac:dyDescent="0.25">
      <c r="C83" s="65"/>
      <c r="D83" s="69"/>
      <c r="E83" s="62"/>
      <c r="F83" s="66"/>
      <c r="G83" s="66"/>
      <c r="H83" s="66"/>
      <c r="I83" s="66"/>
      <c r="J83" s="66"/>
      <c r="K83" s="66"/>
      <c r="L83" s="66"/>
      <c r="M83" s="66"/>
      <c r="N83" s="66"/>
    </row>
    <row r="84" spans="1:14" x14ac:dyDescent="0.25">
      <c r="A84" s="65"/>
      <c r="B84" s="93" t="s">
        <v>0</v>
      </c>
      <c r="C84" s="94"/>
      <c r="D84" s="95">
        <f>D82*D80</f>
        <v>104467.01999999997</v>
      </c>
      <c r="F84" s="66"/>
      <c r="G84" s="66"/>
      <c r="H84" s="66"/>
      <c r="I84" s="66"/>
      <c r="J84" s="66"/>
      <c r="K84" s="66"/>
      <c r="L84" s="66"/>
      <c r="M84" s="66"/>
      <c r="N84" s="66"/>
    </row>
    <row r="85" spans="1:14" x14ac:dyDescent="0.25">
      <c r="F85" s="66"/>
      <c r="G85" s="66"/>
      <c r="H85" s="66"/>
      <c r="I85" s="66"/>
      <c r="J85" s="66"/>
      <c r="K85" s="66"/>
      <c r="L85" s="66"/>
      <c r="M85" s="66"/>
      <c r="N85" s="66"/>
    </row>
    <row r="86" spans="1:14" s="89" customFormat="1" x14ac:dyDescent="0.25">
      <c r="B86" s="89" t="s">
        <v>48</v>
      </c>
      <c r="D86" s="71">
        <v>7.75</v>
      </c>
      <c r="E86" s="62"/>
      <c r="F86" s="66"/>
      <c r="G86" s="66"/>
      <c r="H86" s="66"/>
      <c r="I86" s="66"/>
      <c r="J86" s="66"/>
      <c r="K86" s="66"/>
      <c r="L86" s="66"/>
      <c r="M86" s="66"/>
      <c r="N86" s="66"/>
    </row>
    <row r="87" spans="1:14" s="89" customFormat="1" x14ac:dyDescent="0.25">
      <c r="B87" s="89" t="s">
        <v>64</v>
      </c>
      <c r="C87" s="65"/>
      <c r="D87" s="71">
        <v>5.65</v>
      </c>
      <c r="E87" s="62"/>
      <c r="F87" s="66"/>
      <c r="G87" s="66"/>
      <c r="H87" s="66"/>
      <c r="I87" s="66"/>
      <c r="J87" s="66"/>
      <c r="K87" s="66"/>
      <c r="L87" s="66"/>
      <c r="M87" s="66"/>
      <c r="N87" s="66"/>
    </row>
    <row r="88" spans="1:14" s="89" customFormat="1" x14ac:dyDescent="0.25">
      <c r="B88" s="89" t="s">
        <v>62</v>
      </c>
      <c r="C88" s="65"/>
      <c r="D88" s="72">
        <f>D86-D87</f>
        <v>2.0999999999999996</v>
      </c>
      <c r="E88" s="62"/>
      <c r="F88" s="66"/>
      <c r="G88" s="66"/>
      <c r="H88" s="66"/>
      <c r="I88" s="66"/>
      <c r="J88" s="66"/>
      <c r="K88" s="66"/>
      <c r="L88" s="66"/>
      <c r="M88" s="66"/>
      <c r="N88" s="66"/>
    </row>
    <row r="89" spans="1:14" s="89" customFormat="1" ht="5.0999999999999996" customHeight="1" x14ac:dyDescent="0.25">
      <c r="C89" s="65"/>
      <c r="D89" s="73"/>
      <c r="E89" s="62"/>
      <c r="F89" s="66"/>
      <c r="G89" s="66"/>
      <c r="H89" s="66"/>
      <c r="I89" s="66"/>
      <c r="J89" s="66"/>
      <c r="K89" s="66"/>
      <c r="L89" s="66"/>
      <c r="M89" s="66"/>
      <c r="N89" s="66"/>
    </row>
    <row r="90" spans="1:14" s="89" customFormat="1" x14ac:dyDescent="0.25">
      <c r="B90" s="89" t="s">
        <v>65</v>
      </c>
      <c r="C90" s="65"/>
      <c r="D90" s="70"/>
      <c r="E90" s="62"/>
      <c r="F90" s="66"/>
      <c r="G90" s="66"/>
      <c r="H90" s="66"/>
      <c r="I90" s="66"/>
      <c r="J90" s="66"/>
      <c r="K90" s="66"/>
      <c r="L90" s="66"/>
      <c r="M90" s="66"/>
      <c r="N90" s="66"/>
    </row>
    <row r="91" spans="1:14" s="89" customFormat="1" x14ac:dyDescent="0.25">
      <c r="B91" s="89" t="s">
        <v>1</v>
      </c>
      <c r="C91" s="65"/>
      <c r="D91" s="70">
        <v>50198.71</v>
      </c>
      <c r="E91" s="62"/>
      <c r="F91" s="66"/>
      <c r="G91" s="66"/>
      <c r="H91" s="66"/>
      <c r="I91" s="66"/>
      <c r="J91" s="66"/>
      <c r="K91" s="66"/>
      <c r="L91" s="66"/>
      <c r="M91" s="66"/>
      <c r="N91" s="66"/>
    </row>
    <row r="92" spans="1:14" s="89" customFormat="1" ht="5.0999999999999996" customHeight="1" x14ac:dyDescent="0.25">
      <c r="C92" s="65"/>
      <c r="D92" s="69"/>
      <c r="E92" s="62"/>
      <c r="F92" s="66"/>
      <c r="G92" s="66"/>
      <c r="H92" s="66"/>
      <c r="I92" s="66"/>
      <c r="J92" s="66"/>
      <c r="K92" s="66"/>
      <c r="L92" s="66"/>
      <c r="M92" s="66"/>
      <c r="N92" s="66"/>
    </row>
    <row r="93" spans="1:14" x14ac:dyDescent="0.25">
      <c r="A93" s="65"/>
      <c r="B93" s="93" t="s">
        <v>0</v>
      </c>
      <c r="C93" s="94"/>
      <c r="D93" s="95">
        <f>D91*D88</f>
        <v>105417.29099999998</v>
      </c>
      <c r="F93" s="66"/>
      <c r="G93" s="66"/>
      <c r="H93" s="66"/>
      <c r="I93" s="66"/>
      <c r="J93" s="66"/>
      <c r="K93" s="66"/>
      <c r="L93" s="66"/>
      <c r="M93" s="66"/>
      <c r="N93" s="66"/>
    </row>
    <row r="94" spans="1:14" x14ac:dyDescent="0.25">
      <c r="F94" s="66"/>
      <c r="G94" s="66"/>
      <c r="H94" s="66"/>
      <c r="I94" s="66"/>
      <c r="J94" s="66"/>
      <c r="K94" s="66"/>
      <c r="L94" s="66"/>
      <c r="M94" s="66"/>
      <c r="N94" s="66"/>
    </row>
    <row r="95" spans="1:14" s="89" customFormat="1" x14ac:dyDescent="0.25">
      <c r="B95" s="89" t="s">
        <v>48</v>
      </c>
      <c r="D95" s="71">
        <v>7.75</v>
      </c>
      <c r="E95" s="62"/>
      <c r="F95" s="66"/>
      <c r="G95" s="66"/>
      <c r="H95" s="66"/>
      <c r="I95" s="66"/>
      <c r="J95" s="66"/>
      <c r="K95" s="66"/>
      <c r="L95" s="66"/>
      <c r="M95" s="66"/>
      <c r="N95" s="66"/>
    </row>
    <row r="96" spans="1:14" s="89" customFormat="1" x14ac:dyDescent="0.25">
      <c r="B96" s="89" t="s">
        <v>64</v>
      </c>
      <c r="C96" s="65"/>
      <c r="D96" s="71">
        <v>5.65</v>
      </c>
      <c r="E96" s="62"/>
      <c r="F96" s="66"/>
      <c r="G96" s="66"/>
      <c r="H96" s="66"/>
      <c r="I96" s="66"/>
      <c r="J96" s="66"/>
      <c r="K96" s="66"/>
      <c r="L96" s="66"/>
      <c r="M96" s="66"/>
      <c r="N96" s="66"/>
    </row>
    <row r="97" spans="1:14" s="89" customFormat="1" x14ac:dyDescent="0.25">
      <c r="B97" s="89" t="s">
        <v>62</v>
      </c>
      <c r="C97" s="65"/>
      <c r="D97" s="72">
        <f>D95-D96</f>
        <v>2.0999999999999996</v>
      </c>
      <c r="E97" s="62"/>
      <c r="F97" s="66"/>
      <c r="G97" s="66"/>
      <c r="H97" s="66"/>
      <c r="I97" s="66"/>
      <c r="J97" s="66"/>
      <c r="K97" s="66"/>
      <c r="L97" s="66"/>
      <c r="M97" s="66"/>
      <c r="N97" s="66"/>
    </row>
    <row r="98" spans="1:14" s="89" customFormat="1" ht="5.0999999999999996" customHeight="1" x14ac:dyDescent="0.25">
      <c r="C98" s="65"/>
      <c r="D98" s="73"/>
      <c r="E98" s="62"/>
      <c r="F98" s="66"/>
      <c r="G98" s="66"/>
      <c r="H98" s="66"/>
      <c r="I98" s="66"/>
      <c r="J98" s="66"/>
      <c r="K98" s="66"/>
      <c r="L98" s="66"/>
      <c r="M98" s="66"/>
      <c r="N98" s="66"/>
    </row>
    <row r="99" spans="1:14" s="89" customFormat="1" x14ac:dyDescent="0.25">
      <c r="B99" s="89" t="s">
        <v>65</v>
      </c>
      <c r="C99" s="65"/>
      <c r="D99" s="70"/>
      <c r="E99" s="62"/>
      <c r="F99" s="66"/>
      <c r="G99" s="66"/>
      <c r="H99" s="66"/>
      <c r="I99" s="66"/>
      <c r="J99" s="66"/>
      <c r="K99" s="66"/>
      <c r="L99" s="66"/>
      <c r="M99" s="66"/>
      <c r="N99" s="66"/>
    </row>
    <row r="100" spans="1:14" s="89" customFormat="1" x14ac:dyDescent="0.25">
      <c r="B100" s="89" t="s">
        <v>1</v>
      </c>
      <c r="C100" s="65"/>
      <c r="D100" s="70">
        <v>50198.5</v>
      </c>
      <c r="E100" s="62"/>
      <c r="F100" s="66"/>
      <c r="G100" s="66"/>
      <c r="H100" s="66"/>
      <c r="I100" s="66"/>
      <c r="J100" s="66"/>
      <c r="K100" s="66"/>
      <c r="L100" s="66"/>
      <c r="M100" s="66"/>
      <c r="N100" s="66"/>
    </row>
    <row r="101" spans="1:14" s="89" customFormat="1" ht="5.0999999999999996" customHeight="1" x14ac:dyDescent="0.25">
      <c r="C101" s="65"/>
      <c r="D101" s="69"/>
      <c r="E101" s="62"/>
      <c r="F101" s="66"/>
      <c r="G101" s="66"/>
      <c r="H101" s="66"/>
      <c r="I101" s="66"/>
      <c r="J101" s="66"/>
      <c r="K101" s="66"/>
      <c r="L101" s="66"/>
      <c r="M101" s="66"/>
      <c r="N101" s="66"/>
    </row>
    <row r="102" spans="1:14" x14ac:dyDescent="0.25">
      <c r="A102" s="65"/>
      <c r="B102" s="93" t="s">
        <v>0</v>
      </c>
      <c r="C102" s="94"/>
      <c r="D102" s="95">
        <f>D100*D97</f>
        <v>105416.84999999998</v>
      </c>
      <c r="F102" s="66"/>
      <c r="G102" s="66"/>
      <c r="H102" s="66"/>
      <c r="I102" s="66"/>
      <c r="J102" s="66"/>
      <c r="K102" s="66"/>
      <c r="L102" s="66"/>
      <c r="M102" s="66"/>
      <c r="N102" s="66"/>
    </row>
    <row r="103" spans="1:14" x14ac:dyDescent="0.25">
      <c r="F103" s="66"/>
      <c r="G103" s="66"/>
      <c r="H103" s="66"/>
      <c r="I103" s="66"/>
      <c r="J103" s="66"/>
      <c r="K103" s="66"/>
      <c r="L103" s="66"/>
      <c r="M103" s="66"/>
      <c r="N103" s="66"/>
    </row>
    <row r="104" spans="1:14" s="89" customFormat="1" x14ac:dyDescent="0.25">
      <c r="B104" s="89" t="s">
        <v>48</v>
      </c>
      <c r="D104" s="71">
        <v>7.75</v>
      </c>
      <c r="E104" s="62"/>
      <c r="F104" s="66"/>
      <c r="G104" s="66"/>
      <c r="H104" s="66"/>
      <c r="I104" s="66"/>
      <c r="J104" s="66"/>
      <c r="K104" s="66"/>
      <c r="L104" s="66"/>
      <c r="M104" s="66"/>
      <c r="N104" s="66"/>
    </row>
    <row r="105" spans="1:14" s="89" customFormat="1" x14ac:dyDescent="0.25">
      <c r="B105" s="89" t="s">
        <v>64</v>
      </c>
      <c r="C105" s="65"/>
      <c r="D105" s="71">
        <v>5.65</v>
      </c>
      <c r="E105" s="62"/>
      <c r="F105" s="66"/>
      <c r="G105" s="66"/>
      <c r="H105" s="66"/>
      <c r="I105" s="66"/>
      <c r="J105" s="66"/>
      <c r="K105" s="66"/>
      <c r="L105" s="66"/>
      <c r="M105" s="66"/>
      <c r="N105" s="66"/>
    </row>
    <row r="106" spans="1:14" s="89" customFormat="1" x14ac:dyDescent="0.25">
      <c r="B106" s="89" t="s">
        <v>62</v>
      </c>
      <c r="C106" s="65"/>
      <c r="D106" s="72">
        <f>D104-D105</f>
        <v>2.0999999999999996</v>
      </c>
      <c r="E106" s="62"/>
      <c r="F106" s="66"/>
      <c r="G106" s="66"/>
      <c r="H106" s="66"/>
      <c r="I106" s="66"/>
      <c r="J106" s="66"/>
      <c r="K106" s="66"/>
      <c r="L106" s="66"/>
      <c r="M106" s="66"/>
      <c r="N106" s="66"/>
    </row>
    <row r="107" spans="1:14" s="89" customFormat="1" ht="5.0999999999999996" customHeight="1" x14ac:dyDescent="0.25">
      <c r="C107" s="65"/>
      <c r="D107" s="73"/>
      <c r="E107" s="62"/>
      <c r="F107" s="66"/>
      <c r="G107" s="66"/>
      <c r="H107" s="66"/>
      <c r="I107" s="66"/>
      <c r="J107" s="66"/>
      <c r="K107" s="66"/>
      <c r="L107" s="66"/>
      <c r="M107" s="66"/>
      <c r="N107" s="66"/>
    </row>
    <row r="108" spans="1:14" s="89" customFormat="1" x14ac:dyDescent="0.25">
      <c r="B108" s="89" t="s">
        <v>1</v>
      </c>
      <c r="C108" s="65"/>
      <c r="D108" s="70">
        <v>50229.78</v>
      </c>
      <c r="E108" s="62"/>
      <c r="F108" s="66"/>
      <c r="G108" s="66"/>
      <c r="H108" s="66"/>
      <c r="I108" s="66"/>
      <c r="J108" s="66"/>
      <c r="K108" s="66"/>
      <c r="L108" s="66"/>
      <c r="M108" s="66"/>
      <c r="N108" s="66"/>
    </row>
    <row r="109" spans="1:14" s="89" customFormat="1" ht="5.0999999999999996" customHeight="1" x14ac:dyDescent="0.25">
      <c r="C109" s="65"/>
      <c r="D109" s="69"/>
      <c r="E109" s="62"/>
      <c r="F109" s="66"/>
      <c r="G109" s="66"/>
      <c r="H109" s="66"/>
      <c r="I109" s="66"/>
      <c r="J109" s="66"/>
      <c r="K109" s="66"/>
      <c r="L109" s="66"/>
      <c r="M109" s="66"/>
      <c r="N109" s="66"/>
    </row>
    <row r="110" spans="1:14" x14ac:dyDescent="0.25">
      <c r="A110" s="65"/>
      <c r="B110" s="93" t="s">
        <v>0</v>
      </c>
      <c r="C110" s="94"/>
      <c r="D110" s="95">
        <f>D108*D106</f>
        <v>105482.53799999999</v>
      </c>
      <c r="F110" s="66"/>
      <c r="G110" s="66"/>
      <c r="H110" s="66"/>
      <c r="I110" s="66"/>
      <c r="J110" s="66"/>
      <c r="K110" s="66"/>
      <c r="L110" s="66"/>
      <c r="M110" s="66"/>
      <c r="N110" s="66"/>
    </row>
    <row r="111" spans="1:14" x14ac:dyDescent="0.25">
      <c r="F111" s="66"/>
      <c r="G111" s="66"/>
      <c r="H111" s="66"/>
      <c r="I111" s="66"/>
      <c r="J111" s="66"/>
      <c r="K111" s="66"/>
      <c r="L111" s="66"/>
      <c r="M111" s="66"/>
      <c r="N111" s="66"/>
    </row>
    <row r="112" spans="1:14" s="89" customFormat="1" x14ac:dyDescent="0.25">
      <c r="B112" s="89" t="s">
        <v>48</v>
      </c>
      <c r="D112" s="71">
        <v>8.75</v>
      </c>
      <c r="E112" s="62"/>
      <c r="F112" s="66"/>
      <c r="G112" s="66"/>
      <c r="H112" s="66"/>
      <c r="I112" s="66"/>
      <c r="J112" s="66"/>
      <c r="K112" s="66"/>
      <c r="L112" s="66"/>
      <c r="M112" s="66"/>
      <c r="N112" s="66"/>
    </row>
    <row r="113" spans="1:14" s="89" customFormat="1" x14ac:dyDescent="0.25">
      <c r="B113" s="89" t="s">
        <v>64</v>
      </c>
      <c r="C113" s="65"/>
      <c r="D113" s="71">
        <v>7.65</v>
      </c>
      <c r="E113" s="62"/>
      <c r="F113" s="66"/>
      <c r="G113" s="66"/>
      <c r="H113" s="66"/>
      <c r="I113" s="66"/>
      <c r="J113" s="66"/>
      <c r="K113" s="66"/>
      <c r="L113" s="66"/>
      <c r="M113" s="66"/>
      <c r="N113" s="66"/>
    </row>
    <row r="114" spans="1:14" s="89" customFormat="1" x14ac:dyDescent="0.25">
      <c r="B114" s="89" t="s">
        <v>62</v>
      </c>
      <c r="C114" s="65"/>
      <c r="D114" s="72">
        <f>D112-D113</f>
        <v>1.0999999999999996</v>
      </c>
      <c r="E114" s="62"/>
      <c r="F114" s="66"/>
      <c r="G114" s="66"/>
      <c r="H114" s="66"/>
      <c r="I114" s="66"/>
      <c r="J114" s="66"/>
      <c r="K114" s="66"/>
      <c r="L114" s="66"/>
      <c r="M114" s="66"/>
      <c r="N114" s="66"/>
    </row>
    <row r="115" spans="1:14" s="89" customFormat="1" ht="5.0999999999999996" customHeight="1" x14ac:dyDescent="0.25">
      <c r="C115" s="65"/>
      <c r="D115" s="73"/>
      <c r="E115" s="62"/>
      <c r="F115" s="66"/>
      <c r="G115" s="66"/>
      <c r="H115" s="66"/>
      <c r="I115" s="66"/>
      <c r="J115" s="66"/>
      <c r="K115" s="66"/>
      <c r="L115" s="66"/>
      <c r="M115" s="66"/>
      <c r="N115" s="66"/>
    </row>
    <row r="116" spans="1:14" s="89" customFormat="1" x14ac:dyDescent="0.25">
      <c r="B116" s="89" t="s">
        <v>1</v>
      </c>
      <c r="C116" s="65"/>
      <c r="D116" s="70">
        <v>4941.6400000000003</v>
      </c>
      <c r="E116" s="62"/>
      <c r="F116" s="66"/>
      <c r="G116" s="66"/>
      <c r="H116" s="66"/>
      <c r="I116" s="66"/>
      <c r="J116" s="66"/>
      <c r="K116" s="66"/>
      <c r="L116" s="66"/>
      <c r="M116" s="66"/>
      <c r="N116" s="66"/>
    </row>
    <row r="117" spans="1:14" s="89" customFormat="1" ht="5.0999999999999996" customHeight="1" x14ac:dyDescent="0.25">
      <c r="C117" s="65"/>
      <c r="D117" s="69"/>
      <c r="E117" s="62"/>
      <c r="F117" s="66"/>
      <c r="G117" s="66"/>
      <c r="H117" s="66"/>
      <c r="I117" s="66"/>
      <c r="J117" s="66"/>
      <c r="K117" s="66"/>
      <c r="L117" s="66"/>
      <c r="M117" s="66"/>
      <c r="N117" s="66"/>
    </row>
    <row r="118" spans="1:14" x14ac:dyDescent="0.25">
      <c r="A118" s="65"/>
      <c r="B118" s="93" t="s">
        <v>0</v>
      </c>
      <c r="C118" s="94"/>
      <c r="D118" s="95">
        <f>D116*D114</f>
        <v>5435.8039999999983</v>
      </c>
      <c r="F118" s="66"/>
      <c r="G118" s="66"/>
      <c r="H118" s="66"/>
      <c r="I118" s="66"/>
      <c r="J118" s="66"/>
      <c r="K118" s="66"/>
      <c r="L118" s="66"/>
      <c r="M118" s="66"/>
      <c r="N118" s="66"/>
    </row>
    <row r="119" spans="1:14" x14ac:dyDescent="0.25">
      <c r="F119" s="66"/>
      <c r="G119" s="66"/>
      <c r="H119" s="66"/>
      <c r="I119" s="66"/>
      <c r="J119" s="66"/>
      <c r="K119" s="66"/>
      <c r="L119" s="66"/>
      <c r="M119" s="66"/>
      <c r="N119" s="66"/>
    </row>
    <row r="120" spans="1:14" s="89" customFormat="1" x14ac:dyDescent="0.25">
      <c r="B120" s="89" t="s">
        <v>48</v>
      </c>
      <c r="D120" s="71">
        <v>7.75</v>
      </c>
      <c r="E120" s="62"/>
      <c r="F120" s="66"/>
      <c r="G120" s="66"/>
      <c r="H120" s="66"/>
      <c r="I120" s="66"/>
      <c r="J120" s="66"/>
      <c r="K120" s="66"/>
      <c r="L120" s="66"/>
      <c r="M120" s="66"/>
      <c r="N120" s="66"/>
    </row>
    <row r="121" spans="1:14" s="89" customFormat="1" x14ac:dyDescent="0.25">
      <c r="B121" s="89" t="s">
        <v>64</v>
      </c>
      <c r="C121" s="65"/>
      <c r="D121" s="71">
        <v>5.65</v>
      </c>
      <c r="E121" s="62"/>
      <c r="F121" s="66"/>
      <c r="G121" s="66"/>
      <c r="H121" s="66"/>
      <c r="I121" s="66"/>
      <c r="J121" s="66"/>
      <c r="K121" s="66"/>
      <c r="L121" s="66"/>
      <c r="M121" s="66"/>
      <c r="N121" s="66"/>
    </row>
    <row r="122" spans="1:14" s="89" customFormat="1" x14ac:dyDescent="0.25">
      <c r="B122" s="89" t="s">
        <v>62</v>
      </c>
      <c r="C122" s="65"/>
      <c r="D122" s="72">
        <f>D120-D121</f>
        <v>2.0999999999999996</v>
      </c>
      <c r="E122" s="62"/>
      <c r="F122" s="66"/>
      <c r="G122" s="66"/>
      <c r="H122" s="66"/>
      <c r="I122" s="66"/>
      <c r="J122" s="66"/>
      <c r="K122" s="66"/>
      <c r="L122" s="66"/>
      <c r="M122" s="66"/>
      <c r="N122" s="66"/>
    </row>
    <row r="123" spans="1:14" s="89" customFormat="1" ht="5.0999999999999996" customHeight="1" x14ac:dyDescent="0.25">
      <c r="C123" s="65"/>
      <c r="D123" s="73"/>
      <c r="E123" s="62"/>
      <c r="F123" s="66"/>
      <c r="G123" s="66"/>
      <c r="H123" s="66"/>
      <c r="I123" s="66"/>
      <c r="J123" s="66"/>
      <c r="K123" s="66"/>
      <c r="L123" s="66"/>
      <c r="M123" s="66"/>
      <c r="N123" s="66"/>
    </row>
    <row r="124" spans="1:14" s="89" customFormat="1" x14ac:dyDescent="0.25">
      <c r="B124" s="89" t="s">
        <v>1</v>
      </c>
      <c r="C124" s="65"/>
      <c r="D124" s="70">
        <v>50336</v>
      </c>
      <c r="E124" s="62"/>
      <c r="F124" s="66"/>
      <c r="G124" s="66"/>
      <c r="H124" s="66"/>
      <c r="I124" s="66"/>
      <c r="J124" s="66"/>
      <c r="K124" s="66"/>
      <c r="L124" s="66"/>
      <c r="M124" s="66"/>
      <c r="N124" s="66"/>
    </row>
    <row r="125" spans="1:14" s="89" customFormat="1" ht="5.0999999999999996" customHeight="1" x14ac:dyDescent="0.25">
      <c r="C125" s="65"/>
      <c r="D125" s="69"/>
      <c r="E125" s="62"/>
      <c r="F125" s="66"/>
      <c r="G125" s="66"/>
      <c r="H125" s="66"/>
      <c r="I125" s="66"/>
      <c r="J125" s="66"/>
      <c r="K125" s="66"/>
      <c r="L125" s="66"/>
      <c r="M125" s="66"/>
      <c r="N125" s="66"/>
    </row>
    <row r="126" spans="1:14" x14ac:dyDescent="0.25">
      <c r="A126" s="65"/>
      <c r="B126" s="93" t="s">
        <v>0</v>
      </c>
      <c r="C126" s="94"/>
      <c r="D126" s="95">
        <f>D124*D122</f>
        <v>105705.59999999998</v>
      </c>
      <c r="F126" s="66"/>
      <c r="G126" s="66"/>
      <c r="H126" s="66"/>
      <c r="I126" s="66"/>
      <c r="J126" s="66"/>
      <c r="K126" s="66"/>
      <c r="L126" s="66"/>
      <c r="M126" s="66"/>
      <c r="N126" s="66"/>
    </row>
    <row r="127" spans="1:14" x14ac:dyDescent="0.25">
      <c r="F127" s="66"/>
      <c r="G127" s="66"/>
      <c r="H127" s="66"/>
      <c r="I127" s="66"/>
      <c r="J127" s="66"/>
      <c r="K127" s="66"/>
      <c r="L127" s="66"/>
      <c r="M127" s="66"/>
      <c r="N127" s="66"/>
    </row>
    <row r="128" spans="1:14" s="89" customFormat="1" x14ac:dyDescent="0.25">
      <c r="B128" s="89" t="s">
        <v>48</v>
      </c>
      <c r="D128" s="71">
        <v>7.75</v>
      </c>
      <c r="E128" s="62"/>
      <c r="F128" s="66"/>
      <c r="G128" s="66"/>
      <c r="H128" s="66"/>
      <c r="I128" s="66"/>
      <c r="J128" s="66"/>
      <c r="K128" s="66"/>
      <c r="L128" s="66"/>
      <c r="M128" s="66"/>
      <c r="N128" s="66"/>
    </row>
    <row r="129" spans="1:20" s="89" customFormat="1" x14ac:dyDescent="0.25">
      <c r="B129" s="89" t="s">
        <v>64</v>
      </c>
      <c r="C129" s="65"/>
      <c r="D129" s="71">
        <v>5.65</v>
      </c>
      <c r="E129" s="62"/>
      <c r="F129" s="66"/>
      <c r="G129" s="66"/>
      <c r="H129" s="66"/>
      <c r="I129" s="66"/>
      <c r="J129" s="66"/>
      <c r="K129" s="66"/>
      <c r="L129" s="66"/>
      <c r="M129" s="66"/>
      <c r="N129" s="66"/>
    </row>
    <row r="130" spans="1:20" s="89" customFormat="1" x14ac:dyDescent="0.25">
      <c r="B130" s="89" t="s">
        <v>62</v>
      </c>
      <c r="C130" s="65"/>
      <c r="D130" s="72">
        <f>D128-D129</f>
        <v>2.0999999999999996</v>
      </c>
      <c r="E130" s="62"/>
      <c r="F130" s="66"/>
      <c r="G130" s="66"/>
      <c r="H130" s="66"/>
      <c r="I130" s="66"/>
      <c r="J130" s="66"/>
      <c r="K130" s="66"/>
      <c r="L130" s="66"/>
      <c r="M130" s="66"/>
      <c r="N130" s="66"/>
    </row>
    <row r="131" spans="1:20" s="89" customFormat="1" ht="5.0999999999999996" customHeight="1" x14ac:dyDescent="0.25">
      <c r="C131" s="65"/>
      <c r="D131" s="73"/>
      <c r="E131" s="62"/>
      <c r="F131" s="66"/>
      <c r="G131" s="66"/>
      <c r="H131" s="66"/>
      <c r="I131" s="66"/>
      <c r="J131" s="66"/>
      <c r="K131" s="66"/>
      <c r="L131" s="66"/>
      <c r="M131" s="66"/>
      <c r="N131" s="66"/>
    </row>
    <row r="132" spans="1:20" s="89" customFormat="1" x14ac:dyDescent="0.25">
      <c r="B132" s="89" t="s">
        <v>1</v>
      </c>
      <c r="C132" s="65"/>
      <c r="D132" s="70"/>
      <c r="E132" s="62"/>
      <c r="F132" s="66"/>
      <c r="G132" s="66"/>
      <c r="H132" s="66"/>
      <c r="I132" s="66"/>
      <c r="J132" s="66"/>
      <c r="K132" s="66"/>
      <c r="L132" s="66"/>
      <c r="M132" s="66"/>
      <c r="N132" s="66"/>
    </row>
    <row r="133" spans="1:20" s="89" customFormat="1" ht="5.0999999999999996" customHeight="1" x14ac:dyDescent="0.25">
      <c r="C133" s="65"/>
      <c r="D133" s="69"/>
      <c r="E133" s="62"/>
      <c r="F133" s="66"/>
      <c r="G133" s="66"/>
      <c r="H133" s="66"/>
      <c r="I133" s="66"/>
      <c r="J133" s="66"/>
      <c r="K133" s="66"/>
      <c r="L133" s="66"/>
      <c r="M133" s="66"/>
      <c r="N133" s="66"/>
    </row>
    <row r="134" spans="1:20" x14ac:dyDescent="0.25">
      <c r="B134" s="93" t="s">
        <v>0</v>
      </c>
      <c r="C134" s="94"/>
      <c r="D134" s="95">
        <f>D132*D130</f>
        <v>0</v>
      </c>
      <c r="F134" s="66"/>
      <c r="G134" s="66"/>
      <c r="H134" s="66"/>
      <c r="I134" s="66"/>
      <c r="J134" s="66"/>
      <c r="K134" s="66"/>
      <c r="L134" s="66"/>
      <c r="M134" s="66"/>
      <c r="N134" s="66"/>
    </row>
    <row r="135" spans="1:20" x14ac:dyDescent="0.25">
      <c r="F135" s="66"/>
      <c r="G135" s="66"/>
      <c r="H135" s="66"/>
      <c r="I135" s="66"/>
      <c r="J135" s="66"/>
      <c r="K135" s="66"/>
      <c r="L135" s="66"/>
      <c r="M135" s="66"/>
      <c r="N135" s="66"/>
    </row>
    <row r="137" spans="1:20" ht="15.75" customHeight="1" x14ac:dyDescent="0.25">
      <c r="A137" s="62" t="s">
        <v>44</v>
      </c>
      <c r="B137" s="67" t="s">
        <v>67</v>
      </c>
      <c r="C137" s="88"/>
      <c r="D137" s="68" t="s">
        <v>46</v>
      </c>
      <c r="E137" s="68"/>
      <c r="F137" s="74">
        <v>45367</v>
      </c>
      <c r="G137" s="74">
        <f>+EOMONTH(F137,1)</f>
        <v>45412</v>
      </c>
      <c r="H137" s="74">
        <f t="shared" ref="H137:I137" si="0">+EOMONTH(G137,1)</f>
        <v>45443</v>
      </c>
      <c r="I137" s="74">
        <f t="shared" si="0"/>
        <v>45473</v>
      </c>
    </row>
    <row r="138" spans="1:20" ht="5.0999999999999996" customHeight="1" x14ac:dyDescent="0.25">
      <c r="J138" s="99"/>
    </row>
    <row r="139" spans="1:20" s="89" customFormat="1" x14ac:dyDescent="0.25">
      <c r="B139" s="89" t="s">
        <v>2</v>
      </c>
      <c r="C139" s="100" t="s">
        <v>3</v>
      </c>
      <c r="D139" s="101"/>
      <c r="E139" s="62"/>
      <c r="F139" s="75">
        <v>91216.33</v>
      </c>
      <c r="G139" s="75">
        <v>221552</v>
      </c>
      <c r="H139" s="75">
        <v>226730.84</v>
      </c>
      <c r="I139" s="75">
        <v>204172.88</v>
      </c>
      <c r="J139" s="102" t="s">
        <v>28</v>
      </c>
    </row>
    <row r="140" spans="1:20" s="89" customFormat="1" x14ac:dyDescent="0.25">
      <c r="B140" s="89" t="s">
        <v>23</v>
      </c>
      <c r="C140" s="100" t="s">
        <v>24</v>
      </c>
      <c r="D140" s="103"/>
      <c r="E140" s="62"/>
      <c r="F140" s="76">
        <v>266.32</v>
      </c>
      <c r="G140" s="76">
        <v>250.35</v>
      </c>
      <c r="H140" s="76">
        <v>232.93</v>
      </c>
      <c r="I140" s="76">
        <v>235.83</v>
      </c>
      <c r="J140" s="102" t="s">
        <v>29</v>
      </c>
    </row>
    <row r="141" spans="1:20" s="89" customFormat="1" x14ac:dyDescent="0.25">
      <c r="B141" s="104" t="s">
        <v>25</v>
      </c>
      <c r="C141" s="105" t="s">
        <v>26</v>
      </c>
      <c r="D141" s="77">
        <f>SUM(F141:I141)</f>
        <v>180720781.05719998</v>
      </c>
      <c r="E141" s="62"/>
      <c r="F141" s="78">
        <f>F139*F140</f>
        <v>24292733.005600002</v>
      </c>
      <c r="G141" s="78">
        <f t="shared" ref="G141:I141" si="1">G139*G140</f>
        <v>55465543.199999996</v>
      </c>
      <c r="H141" s="78">
        <f t="shared" si="1"/>
        <v>52812414.5612</v>
      </c>
      <c r="I141" s="78">
        <f t="shared" si="1"/>
        <v>48150090.290400006</v>
      </c>
      <c r="J141" s="102"/>
    </row>
    <row r="142" spans="1:20" s="89" customFormat="1" ht="15" customHeight="1" x14ac:dyDescent="0.25">
      <c r="C142" s="100"/>
      <c r="E142" s="62"/>
      <c r="F142" s="101"/>
      <c r="J142" s="102"/>
    </row>
    <row r="143" spans="1:20" s="62" customFormat="1" ht="15" customHeight="1" x14ac:dyDescent="0.25">
      <c r="B143" s="104" t="s">
        <v>27</v>
      </c>
      <c r="C143" s="105" t="s">
        <v>26</v>
      </c>
      <c r="D143" s="77">
        <f>SUM(F143:I143)</f>
        <v>115753305.86999999</v>
      </c>
      <c r="F143" s="79">
        <v>14601323.67</v>
      </c>
      <c r="G143" s="79">
        <v>35871191.409999996</v>
      </c>
      <c r="H143" s="79">
        <v>34299382.710000001</v>
      </c>
      <c r="I143" s="79">
        <v>30981408.079999998</v>
      </c>
      <c r="J143" s="102" t="s">
        <v>80</v>
      </c>
      <c r="O143" s="65"/>
      <c r="P143" s="65"/>
      <c r="Q143" s="65"/>
      <c r="R143" s="65"/>
      <c r="S143" s="65"/>
      <c r="T143" s="65"/>
    </row>
    <row r="144" spans="1:20" s="62" customFormat="1" ht="15" customHeight="1" x14ac:dyDescent="0.25">
      <c r="B144" s="89"/>
      <c r="C144" s="100"/>
      <c r="D144" s="89"/>
      <c r="F144" s="101"/>
      <c r="J144" s="99"/>
      <c r="O144" s="65"/>
      <c r="P144" s="65"/>
      <c r="Q144" s="65"/>
      <c r="R144" s="65"/>
      <c r="S144" s="65"/>
      <c r="T144" s="65"/>
    </row>
    <row r="145" spans="1:21" s="62" customFormat="1" ht="15" customHeight="1" x14ac:dyDescent="0.25">
      <c r="B145" s="93" t="s">
        <v>79</v>
      </c>
      <c r="C145" s="106" t="s">
        <v>26</v>
      </c>
      <c r="D145" s="95">
        <f>D141-D143</f>
        <v>64967475.187199995</v>
      </c>
      <c r="E145" s="107"/>
      <c r="F145" s="108">
        <f t="shared" ref="F145:I145" si="2">F141-F143</f>
        <v>9691409.3356000017</v>
      </c>
      <c r="G145" s="108">
        <f t="shared" si="2"/>
        <v>19594351.789999999</v>
      </c>
      <c r="H145" s="108">
        <f t="shared" si="2"/>
        <v>18513031.851199999</v>
      </c>
      <c r="I145" s="108">
        <f t="shared" si="2"/>
        <v>17168682.210400008</v>
      </c>
      <c r="J145" s="99"/>
      <c r="O145" s="65"/>
      <c r="P145" s="65"/>
      <c r="Q145" s="65"/>
      <c r="R145" s="65"/>
      <c r="S145" s="65"/>
      <c r="T145" s="65"/>
    </row>
    <row r="146" spans="1:21" x14ac:dyDescent="0.25">
      <c r="A146" s="65"/>
      <c r="F146" s="101"/>
    </row>
    <row r="147" spans="1:21" x14ac:dyDescent="0.25">
      <c r="O147" s="62"/>
      <c r="P147" s="62"/>
      <c r="Q147" s="62"/>
      <c r="R147" s="62"/>
      <c r="S147" s="62"/>
      <c r="T147" s="62"/>
      <c r="U147" s="62"/>
    </row>
    <row r="148" spans="1:21" x14ac:dyDescent="0.25">
      <c r="A148" s="65"/>
      <c r="B148" s="109" t="s">
        <v>66</v>
      </c>
      <c r="C148" s="110"/>
      <c r="D148" s="111">
        <f>D145+D76+D58+D46+D33+D22+D14+D134+D126+D118+D110+D102+D93+D84+D66</f>
        <v>77130881.987799987</v>
      </c>
      <c r="O148" s="62"/>
      <c r="P148" s="62"/>
      <c r="Q148" s="62"/>
      <c r="R148" s="62"/>
      <c r="S148" s="62"/>
      <c r="T148" s="62"/>
      <c r="U148" s="62"/>
    </row>
    <row r="149" spans="1:21" x14ac:dyDescent="0.25">
      <c r="O149" s="62"/>
      <c r="P149" s="62"/>
      <c r="Q149" s="62"/>
      <c r="R149" s="62"/>
      <c r="S149" s="62"/>
      <c r="T149" s="62"/>
      <c r="U149" s="62"/>
    </row>
    <row r="150" spans="1:21" x14ac:dyDescent="0.25">
      <c r="O150" s="62"/>
      <c r="P150" s="62"/>
      <c r="Q150" s="62"/>
      <c r="R150" s="62"/>
      <c r="S150" s="62"/>
      <c r="T150" s="62"/>
      <c r="U150" s="6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4F22-7B71-4DD0-A779-8A15648FBE76}">
  <sheetPr>
    <tabColor rgb="FF0070C0"/>
  </sheetPr>
  <dimension ref="A1:AF51"/>
  <sheetViews>
    <sheetView showGridLines="0" topLeftCell="C1" zoomScale="78" workbookViewId="0">
      <selection activeCell="C1" sqref="C1"/>
    </sheetView>
  </sheetViews>
  <sheetFormatPr defaultColWidth="9.140625" defaultRowHeight="21.75" x14ac:dyDescent="0.25"/>
  <cols>
    <col min="1" max="1" width="7" style="114" hidden="1" customWidth="1"/>
    <col min="2" max="2" width="10.85546875" style="114" hidden="1" customWidth="1"/>
    <col min="3" max="3" width="5.28515625" style="65" customWidth="1"/>
    <col min="4" max="5" width="29.7109375" style="65" customWidth="1"/>
    <col min="6" max="6" width="1" style="65" customWidth="1"/>
    <col min="7" max="8" width="29.7109375" style="65" customWidth="1"/>
    <col min="9" max="9" width="1" style="65" customWidth="1"/>
    <col min="10" max="11" width="29.7109375" style="65" customWidth="1"/>
    <col min="12" max="12" width="1" style="65" customWidth="1"/>
    <col min="13" max="14" width="29.7109375" style="65" customWidth="1"/>
    <col min="15" max="15" width="1" style="65" customWidth="1"/>
    <col min="16" max="17" width="29.7109375" style="65" customWidth="1"/>
    <col min="18" max="18" width="1" style="65" customWidth="1"/>
    <col min="19" max="20" width="29.7109375" style="65" customWidth="1"/>
    <col min="21" max="21" width="1" style="65" customWidth="1"/>
    <col min="22" max="23" width="29.7109375" style="65" customWidth="1"/>
    <col min="24" max="24" width="1" style="65" customWidth="1"/>
    <col min="25" max="26" width="29.7109375" style="65" customWidth="1"/>
    <col min="27" max="27" width="1" style="65" customWidth="1"/>
    <col min="28" max="29" width="29.7109375" style="65" customWidth="1"/>
    <col min="30" max="30" width="1" style="65" customWidth="1"/>
    <col min="31" max="33" width="29.7109375" style="65" customWidth="1"/>
    <col min="34" max="16384" width="9.140625" style="65"/>
  </cols>
  <sheetData>
    <row r="1" spans="4:32" ht="59.25" customHeight="1" x14ac:dyDescent="0.25">
      <c r="D1" s="158"/>
      <c r="E1" s="158"/>
      <c r="F1" s="158"/>
      <c r="G1" s="158"/>
      <c r="H1" s="158"/>
    </row>
    <row r="2" spans="4:32" ht="24" customHeight="1" thickBot="1" x14ac:dyDescent="0.3">
      <c r="D2" s="115" t="s">
        <v>81</v>
      </c>
      <c r="E2" s="63"/>
      <c r="F2" s="63"/>
      <c r="G2" s="63"/>
      <c r="H2" s="63"/>
      <c r="I2" s="63"/>
      <c r="J2" s="116"/>
      <c r="K2" s="116"/>
      <c r="L2" s="63"/>
      <c r="M2" s="116"/>
      <c r="N2" s="116"/>
      <c r="O2" s="63"/>
      <c r="P2" s="116"/>
      <c r="Q2" s="116"/>
      <c r="R2" s="63"/>
      <c r="S2" s="116"/>
      <c r="T2" s="116"/>
      <c r="U2" s="63"/>
      <c r="V2" s="116"/>
      <c r="W2" s="116"/>
      <c r="X2" s="63"/>
      <c r="Y2" s="116"/>
      <c r="Z2" s="116"/>
      <c r="AA2" s="63"/>
      <c r="AB2" s="116"/>
      <c r="AC2" s="116"/>
      <c r="AD2" s="63"/>
      <c r="AE2" s="116"/>
      <c r="AF2" s="116"/>
    </row>
    <row r="3" spans="4:32" ht="14.25" customHeight="1" x14ac:dyDescent="0.25"/>
    <row r="4" spans="4:32" ht="14.25" customHeight="1" x14ac:dyDescent="0.25"/>
    <row r="5" spans="4:32" ht="14.25" customHeight="1" x14ac:dyDescent="0.25">
      <c r="D5" s="117" t="s">
        <v>82</v>
      </c>
    </row>
    <row r="6" spans="4:32" ht="14.25" customHeight="1" x14ac:dyDescent="0.25">
      <c r="D6" s="168" t="s">
        <v>127</v>
      </c>
    </row>
    <row r="7" spans="4:32" ht="14.25" customHeight="1" x14ac:dyDescent="0.25">
      <c r="D7" s="156" t="s">
        <v>46</v>
      </c>
      <c r="E7" s="157"/>
    </row>
    <row r="8" spans="4:32" ht="14.25" customHeight="1" x14ac:dyDescent="0.25">
      <c r="D8" s="118" t="s">
        <v>83</v>
      </c>
      <c r="E8" s="118" t="s">
        <v>84</v>
      </c>
    </row>
    <row r="9" spans="4:32" ht="27" customHeight="1" x14ac:dyDescent="0.25">
      <c r="D9" s="119">
        <v>12</v>
      </c>
      <c r="E9" s="120" cm="1">
        <f t="array" ref="E9">_xlfn.IFS(D9&lt;=$A$36,$B$36,AND(D9&lt;=$A$37,D9&gt;=$A$36),$B$37,D9&gt;$A$38,$B$38)</f>
        <v>-100000</v>
      </c>
    </row>
    <row r="10" spans="4:32" ht="14.25" customHeight="1" x14ac:dyDescent="0.25"/>
    <row r="11" spans="4:32" ht="14.25" customHeight="1" x14ac:dyDescent="0.25"/>
    <row r="12" spans="4:32" ht="14.25" customHeight="1" x14ac:dyDescent="0.25"/>
    <row r="13" spans="4:32" ht="14.25" customHeight="1" x14ac:dyDescent="0.25">
      <c r="D13" s="117" t="s">
        <v>85</v>
      </c>
    </row>
    <row r="14" spans="4:32" ht="14.25" customHeight="1" x14ac:dyDescent="0.25"/>
    <row r="15" spans="4:32" ht="14.25" customHeight="1" x14ac:dyDescent="0.25">
      <c r="D15" s="156" t="s">
        <v>46</v>
      </c>
      <c r="E15" s="157"/>
    </row>
    <row r="16" spans="4:32" ht="14.25" customHeight="1" x14ac:dyDescent="0.25">
      <c r="D16" s="118" t="s">
        <v>86</v>
      </c>
      <c r="E16" s="118" t="s">
        <v>84</v>
      </c>
    </row>
    <row r="17" spans="3:17" ht="27" customHeight="1" x14ac:dyDescent="0.25">
      <c r="D17" s="119">
        <v>21</v>
      </c>
      <c r="E17" s="120" cm="1">
        <f t="array" ref="E17">_xlfn.IFS(D17=$A$42,$B$42,AND(D17&lt;=$A$43,D17&gt;$A$42),$B$43,D17&gt;$A$44,$B$44)</f>
        <v>-100000</v>
      </c>
    </row>
    <row r="18" spans="3:17" ht="14.25" customHeight="1" x14ac:dyDescent="0.25">
      <c r="D18" s="121"/>
    </row>
    <row r="19" spans="3:17" ht="14.25" customHeight="1" x14ac:dyDescent="0.25"/>
    <row r="20" spans="3:17" ht="14.25" customHeight="1" x14ac:dyDescent="0.25"/>
    <row r="21" spans="3:17" ht="14.25" customHeight="1" x14ac:dyDescent="0.25">
      <c r="D21" s="117" t="s">
        <v>87</v>
      </c>
    </row>
    <row r="22" spans="3:17" ht="14.25" customHeight="1" x14ac:dyDescent="0.25"/>
    <row r="23" spans="3:17" ht="14.25" customHeight="1" x14ac:dyDescent="0.25">
      <c r="D23" s="156" t="s">
        <v>46</v>
      </c>
      <c r="E23" s="157"/>
    </row>
    <row r="24" spans="3:17" ht="14.25" customHeight="1" x14ac:dyDescent="0.25">
      <c r="D24" s="118" t="s">
        <v>88</v>
      </c>
      <c r="E24" s="118" t="s">
        <v>84</v>
      </c>
    </row>
    <row r="25" spans="3:17" ht="27" customHeight="1" x14ac:dyDescent="0.25">
      <c r="D25" s="119">
        <v>0</v>
      </c>
      <c r="E25" s="120" cm="1">
        <f t="array" ref="E25">_xlfn.IFS(D25=$A$48,$B$48,D25&gt;=$A$49,$B$49)</f>
        <v>10000</v>
      </c>
    </row>
    <row r="26" spans="3:17" ht="14.25" customHeight="1" x14ac:dyDescent="0.25">
      <c r="D26" s="121"/>
    </row>
    <row r="27" spans="3:17" ht="14.25" customHeight="1" x14ac:dyDescent="0.25"/>
    <row r="28" spans="3:17" ht="14.25" customHeight="1" x14ac:dyDescent="0.25"/>
    <row r="29" spans="3:17" ht="14.25" customHeight="1" x14ac:dyDescent="0.25"/>
    <row r="30" spans="3:17" x14ac:dyDescent="0.25">
      <c r="C30" s="107"/>
      <c r="D30" s="128" t="s">
        <v>89</v>
      </c>
      <c r="E30" s="129"/>
      <c r="F30" s="129"/>
      <c r="G30" s="129"/>
      <c r="H30" s="129"/>
      <c r="I30" s="129"/>
      <c r="J30" s="129"/>
      <c r="K30" s="129"/>
      <c r="L30" s="129"/>
      <c r="M30" s="129"/>
      <c r="N30" s="129"/>
      <c r="O30" s="129"/>
      <c r="P30" s="129"/>
      <c r="Q30" s="129"/>
    </row>
    <row r="31" spans="3:17" ht="5.0999999999999996" customHeight="1" x14ac:dyDescent="0.25">
      <c r="C31" s="107"/>
      <c r="D31" s="129"/>
      <c r="E31" s="129"/>
      <c r="F31" s="129"/>
      <c r="G31" s="129"/>
      <c r="H31" s="129"/>
      <c r="I31" s="129"/>
      <c r="J31" s="129"/>
      <c r="K31" s="129"/>
      <c r="L31" s="129"/>
      <c r="M31" s="129"/>
      <c r="N31" s="129"/>
      <c r="O31" s="129"/>
      <c r="P31" s="129"/>
      <c r="Q31" s="129"/>
    </row>
    <row r="32" spans="3:17" x14ac:dyDescent="0.25">
      <c r="C32" s="107"/>
      <c r="D32" s="129" t="s">
        <v>90</v>
      </c>
      <c r="E32" s="129"/>
      <c r="F32" s="129"/>
      <c r="G32" s="129"/>
      <c r="H32" s="129"/>
      <c r="I32" s="129"/>
      <c r="J32" s="129"/>
      <c r="K32" s="129"/>
      <c r="L32" s="129"/>
      <c r="M32" s="129"/>
      <c r="N32" s="129"/>
      <c r="O32" s="129"/>
      <c r="P32" s="129"/>
      <c r="Q32" s="129"/>
    </row>
    <row r="33" spans="1:17" ht="5.0999999999999996" customHeight="1" x14ac:dyDescent="0.25">
      <c r="C33" s="107"/>
      <c r="D33" s="129"/>
      <c r="E33" s="129"/>
      <c r="F33" s="129"/>
      <c r="G33" s="129"/>
      <c r="H33" s="129"/>
      <c r="I33" s="129"/>
      <c r="J33" s="129"/>
      <c r="K33" s="129"/>
      <c r="L33" s="129"/>
      <c r="M33" s="129"/>
      <c r="N33" s="129"/>
      <c r="O33" s="129"/>
      <c r="P33" s="129"/>
      <c r="Q33" s="129"/>
    </row>
    <row r="34" spans="1:17" x14ac:dyDescent="0.25">
      <c r="B34" s="126"/>
      <c r="C34" s="129"/>
      <c r="D34" s="130" t="s">
        <v>91</v>
      </c>
      <c r="E34" s="129"/>
      <c r="F34" s="129"/>
      <c r="G34" s="129"/>
      <c r="H34" s="129"/>
      <c r="I34" s="129"/>
      <c r="J34" s="129"/>
      <c r="K34" s="129"/>
      <c r="L34" s="129"/>
      <c r="M34" s="129"/>
      <c r="N34" s="129"/>
      <c r="O34" s="129"/>
      <c r="P34" s="129"/>
      <c r="Q34" s="129"/>
    </row>
    <row r="35" spans="1:17" x14ac:dyDescent="0.25">
      <c r="B35" s="126"/>
      <c r="C35" s="129"/>
      <c r="D35" s="131" t="s">
        <v>83</v>
      </c>
      <c r="E35" s="159" t="s">
        <v>92</v>
      </c>
      <c r="F35" s="160"/>
      <c r="G35" s="161"/>
      <c r="H35" s="129"/>
      <c r="I35" s="129"/>
      <c r="J35" s="129"/>
      <c r="K35" s="129"/>
      <c r="L35" s="129"/>
      <c r="M35" s="129"/>
      <c r="N35" s="129"/>
      <c r="O35" s="129"/>
      <c r="P35" s="129"/>
      <c r="Q35" s="129"/>
    </row>
    <row r="36" spans="1:17" x14ac:dyDescent="0.25">
      <c r="A36" s="132">
        <v>3</v>
      </c>
      <c r="B36" s="133">
        <v>10000</v>
      </c>
      <c r="C36" s="129"/>
      <c r="D36" s="134" t="s">
        <v>93</v>
      </c>
      <c r="E36" s="135" t="s">
        <v>94</v>
      </c>
      <c r="F36" s="129"/>
      <c r="G36" s="136"/>
      <c r="H36" s="129"/>
      <c r="I36" s="129"/>
      <c r="J36" s="129"/>
      <c r="K36" s="129"/>
      <c r="L36" s="129"/>
      <c r="M36" s="129"/>
      <c r="N36" s="129"/>
      <c r="O36" s="129"/>
      <c r="P36" s="129"/>
      <c r="Q36" s="129"/>
    </row>
    <row r="37" spans="1:17" x14ac:dyDescent="0.25">
      <c r="A37" s="132">
        <v>5</v>
      </c>
      <c r="B37" s="133">
        <v>5000</v>
      </c>
      <c r="C37" s="129"/>
      <c r="D37" s="135" t="s">
        <v>118</v>
      </c>
      <c r="E37" s="135" t="s">
        <v>95</v>
      </c>
      <c r="F37" s="129"/>
      <c r="G37" s="136"/>
      <c r="H37" s="129"/>
      <c r="I37" s="129"/>
      <c r="J37" s="129"/>
      <c r="K37" s="129"/>
      <c r="L37" s="129"/>
      <c r="M37" s="129"/>
      <c r="N37" s="129"/>
      <c r="O37" s="129"/>
      <c r="P37" s="129"/>
      <c r="Q37" s="129"/>
    </row>
    <row r="38" spans="1:17" x14ac:dyDescent="0.25">
      <c r="A38" s="132">
        <v>5</v>
      </c>
      <c r="B38" s="133">
        <v>-100000</v>
      </c>
      <c r="C38" s="129"/>
      <c r="D38" s="137" t="s">
        <v>96</v>
      </c>
      <c r="E38" s="137" t="s">
        <v>97</v>
      </c>
      <c r="F38" s="138"/>
      <c r="G38" s="139"/>
      <c r="H38" s="129"/>
      <c r="I38" s="129"/>
      <c r="J38" s="129"/>
      <c r="K38" s="129"/>
      <c r="L38" s="129"/>
      <c r="M38" s="129"/>
      <c r="N38" s="129"/>
      <c r="O38" s="129"/>
      <c r="P38" s="129"/>
      <c r="Q38" s="129"/>
    </row>
    <row r="39" spans="1:17" x14ac:dyDescent="0.25">
      <c r="A39" s="132"/>
      <c r="B39" s="133"/>
      <c r="C39" s="129"/>
      <c r="D39" s="129"/>
      <c r="E39" s="129"/>
      <c r="F39" s="129"/>
      <c r="G39" s="129"/>
      <c r="H39" s="129"/>
      <c r="I39" s="129"/>
      <c r="J39" s="129"/>
      <c r="K39" s="129"/>
      <c r="L39" s="129"/>
      <c r="M39" s="129"/>
      <c r="N39" s="129"/>
      <c r="O39" s="129"/>
      <c r="P39" s="129"/>
      <c r="Q39" s="129"/>
    </row>
    <row r="40" spans="1:17" x14ac:dyDescent="0.25">
      <c r="A40" s="132"/>
      <c r="B40" s="133"/>
      <c r="C40" s="129"/>
      <c r="D40" s="130" t="s">
        <v>98</v>
      </c>
      <c r="E40" s="129"/>
      <c r="F40" s="129"/>
      <c r="G40" s="129"/>
      <c r="H40" s="129"/>
      <c r="I40" s="129"/>
      <c r="J40" s="129"/>
      <c r="K40" s="129"/>
      <c r="L40" s="129"/>
      <c r="M40" s="129"/>
      <c r="N40" s="129"/>
      <c r="O40" s="129"/>
      <c r="P40" s="129"/>
      <c r="Q40" s="129"/>
    </row>
    <row r="41" spans="1:17" x14ac:dyDescent="0.25">
      <c r="A41" s="132"/>
      <c r="B41" s="133"/>
      <c r="C41" s="129"/>
      <c r="D41" s="131" t="s">
        <v>86</v>
      </c>
      <c r="E41" s="159" t="s">
        <v>92</v>
      </c>
      <c r="F41" s="160"/>
      <c r="G41" s="161"/>
      <c r="H41" s="129"/>
      <c r="I41" s="129"/>
      <c r="J41" s="129"/>
      <c r="K41" s="129"/>
      <c r="L41" s="129"/>
      <c r="M41" s="129"/>
      <c r="N41" s="129"/>
      <c r="O41" s="129"/>
      <c r="P41" s="129"/>
      <c r="Q41" s="129"/>
    </row>
    <row r="42" spans="1:17" x14ac:dyDescent="0.25">
      <c r="A42" s="132">
        <v>0</v>
      </c>
      <c r="B42" s="133">
        <v>10000</v>
      </c>
      <c r="C42" s="129"/>
      <c r="D42" s="140">
        <v>0</v>
      </c>
      <c r="E42" s="135" t="s">
        <v>94</v>
      </c>
      <c r="F42" s="129"/>
      <c r="G42" s="136"/>
      <c r="H42" s="129"/>
      <c r="I42" s="129"/>
      <c r="J42" s="129"/>
      <c r="K42" s="129"/>
      <c r="L42" s="129"/>
      <c r="M42" s="129"/>
      <c r="N42" s="129"/>
      <c r="O42" s="129"/>
      <c r="P42" s="129"/>
      <c r="Q42" s="129"/>
    </row>
    <row r="43" spans="1:17" x14ac:dyDescent="0.25">
      <c r="A43" s="132">
        <v>3</v>
      </c>
      <c r="B43" s="133">
        <v>5000</v>
      </c>
      <c r="C43" s="129"/>
      <c r="D43" s="135" t="s">
        <v>99</v>
      </c>
      <c r="E43" s="135" t="s">
        <v>95</v>
      </c>
      <c r="F43" s="129"/>
      <c r="G43" s="136"/>
      <c r="H43" s="129"/>
      <c r="I43" s="129"/>
      <c r="J43" s="129"/>
      <c r="K43" s="129"/>
      <c r="L43" s="129"/>
      <c r="M43" s="129"/>
      <c r="N43" s="129"/>
      <c r="O43" s="129"/>
      <c r="P43" s="129"/>
      <c r="Q43" s="129"/>
    </row>
    <row r="44" spans="1:17" x14ac:dyDescent="0.25">
      <c r="A44" s="132">
        <v>3</v>
      </c>
      <c r="B44" s="133">
        <v>-100000</v>
      </c>
      <c r="C44" s="129"/>
      <c r="D44" s="137" t="s">
        <v>100</v>
      </c>
      <c r="E44" s="137" t="s">
        <v>97</v>
      </c>
      <c r="F44" s="138"/>
      <c r="G44" s="139"/>
      <c r="H44" s="129"/>
      <c r="I44" s="129"/>
      <c r="J44" s="129"/>
      <c r="K44" s="129"/>
      <c r="L44" s="129"/>
      <c r="M44" s="129"/>
      <c r="N44" s="129"/>
      <c r="O44" s="129"/>
      <c r="P44" s="129"/>
      <c r="Q44" s="129"/>
    </row>
    <row r="45" spans="1:17" x14ac:dyDescent="0.25">
      <c r="A45" s="132"/>
      <c r="B45" s="133"/>
      <c r="C45" s="129"/>
      <c r="D45" s="129"/>
      <c r="E45" s="129"/>
      <c r="F45" s="129"/>
      <c r="G45" s="129"/>
      <c r="H45" s="129"/>
      <c r="I45" s="129"/>
      <c r="J45" s="129"/>
      <c r="K45" s="129"/>
      <c r="L45" s="129"/>
      <c r="M45" s="129"/>
      <c r="N45" s="129"/>
      <c r="O45" s="129"/>
      <c r="P45" s="129"/>
      <c r="Q45" s="129"/>
    </row>
    <row r="46" spans="1:17" x14ac:dyDescent="0.25">
      <c r="A46" s="132"/>
      <c r="B46" s="133"/>
      <c r="C46" s="129"/>
      <c r="D46" s="130" t="s">
        <v>101</v>
      </c>
      <c r="E46" s="129"/>
      <c r="F46" s="129"/>
      <c r="G46" s="129"/>
      <c r="H46" s="129"/>
      <c r="I46" s="129"/>
      <c r="J46" s="129"/>
      <c r="K46" s="129"/>
      <c r="L46" s="129"/>
      <c r="M46" s="129"/>
      <c r="N46" s="129"/>
      <c r="O46" s="129"/>
      <c r="P46" s="129"/>
      <c r="Q46" s="129"/>
    </row>
    <row r="47" spans="1:17" x14ac:dyDescent="0.25">
      <c r="A47" s="132"/>
      <c r="B47" s="133"/>
      <c r="C47" s="129"/>
      <c r="D47" s="141" t="s">
        <v>102</v>
      </c>
      <c r="E47" s="159" t="s">
        <v>92</v>
      </c>
      <c r="F47" s="160"/>
      <c r="G47" s="161"/>
      <c r="H47" s="129"/>
      <c r="I47" s="129"/>
      <c r="J47" s="129"/>
      <c r="K47" s="129"/>
      <c r="L47" s="129"/>
      <c r="M47" s="129"/>
      <c r="N47" s="129"/>
      <c r="O47" s="129"/>
      <c r="P47" s="129"/>
      <c r="Q47" s="129"/>
    </row>
    <row r="48" spans="1:17" x14ac:dyDescent="0.25">
      <c r="A48" s="132">
        <v>0</v>
      </c>
      <c r="B48" s="133">
        <v>10000</v>
      </c>
      <c r="C48" s="129"/>
      <c r="D48" s="140">
        <v>0</v>
      </c>
      <c r="E48" s="135" t="s">
        <v>94</v>
      </c>
      <c r="F48" s="129"/>
      <c r="G48" s="136"/>
      <c r="H48" s="129"/>
      <c r="I48" s="129"/>
      <c r="J48" s="129"/>
      <c r="K48" s="129"/>
      <c r="L48" s="129"/>
      <c r="M48" s="129"/>
      <c r="N48" s="129"/>
      <c r="O48" s="129"/>
      <c r="P48" s="129"/>
      <c r="Q48" s="129"/>
    </row>
    <row r="49" spans="1:17" x14ac:dyDescent="0.25">
      <c r="A49" s="132">
        <v>1</v>
      </c>
      <c r="B49" s="133">
        <v>-100000</v>
      </c>
      <c r="C49" s="129"/>
      <c r="D49" s="137" t="s">
        <v>103</v>
      </c>
      <c r="E49" s="137" t="s">
        <v>97</v>
      </c>
      <c r="F49" s="138"/>
      <c r="G49" s="139"/>
      <c r="H49" s="129"/>
      <c r="I49" s="129"/>
      <c r="J49" s="129"/>
      <c r="K49" s="129"/>
      <c r="L49" s="129"/>
      <c r="M49" s="129"/>
      <c r="N49" s="129"/>
      <c r="O49" s="129"/>
      <c r="P49" s="129"/>
      <c r="Q49" s="129"/>
    </row>
    <row r="50" spans="1:17" ht="5.0999999999999996" customHeight="1" x14ac:dyDescent="0.25">
      <c r="A50" s="132"/>
      <c r="B50" s="126"/>
      <c r="C50" s="129"/>
      <c r="D50" s="129"/>
      <c r="E50" s="129"/>
      <c r="F50" s="129"/>
      <c r="G50" s="129"/>
      <c r="H50" s="129"/>
      <c r="I50" s="129"/>
      <c r="J50" s="129"/>
      <c r="K50" s="129"/>
      <c r="L50" s="129"/>
      <c r="M50" s="129"/>
      <c r="N50" s="129"/>
      <c r="O50" s="129"/>
      <c r="P50" s="129"/>
      <c r="Q50" s="129"/>
    </row>
    <row r="51" spans="1:17" ht="42" customHeight="1" x14ac:dyDescent="0.25">
      <c r="A51" s="132"/>
      <c r="B51" s="126"/>
      <c r="C51" s="129"/>
      <c r="D51" s="162" t="s">
        <v>104</v>
      </c>
      <c r="E51" s="162"/>
      <c r="F51" s="162"/>
      <c r="G51" s="162"/>
      <c r="H51" s="162"/>
      <c r="I51" s="162"/>
      <c r="J51" s="162"/>
      <c r="K51" s="162"/>
      <c r="L51" s="162"/>
      <c r="M51" s="162"/>
      <c r="N51" s="129"/>
      <c r="O51" s="129"/>
      <c r="P51" s="129"/>
      <c r="Q51" s="129"/>
    </row>
  </sheetData>
  <mergeCells count="8">
    <mergeCell ref="D51:M51"/>
    <mergeCell ref="E35:G35"/>
    <mergeCell ref="D23:E23"/>
    <mergeCell ref="D15:E15"/>
    <mergeCell ref="D1:H1"/>
    <mergeCell ref="D7:E7"/>
    <mergeCell ref="E41:G41"/>
    <mergeCell ref="E47:G47"/>
  </mergeCells>
  <conditionalFormatting sqref="E9">
    <cfRule type="cellIs" dxfId="8" priority="59" operator="lessThan">
      <formula>0</formula>
    </cfRule>
    <cfRule type="cellIs" dxfId="7" priority="60" operator="greaterThan">
      <formula>0</formula>
    </cfRule>
  </conditionalFormatting>
  <conditionalFormatting sqref="E17">
    <cfRule type="cellIs" dxfId="6" priority="37" operator="lessThan">
      <formula>0</formula>
    </cfRule>
    <cfRule type="cellIs" dxfId="5" priority="38" operator="greaterThan">
      <formula>0</formula>
    </cfRule>
  </conditionalFormatting>
  <conditionalFormatting sqref="E25">
    <cfRule type="cellIs" dxfId="4" priority="57" operator="lessThan">
      <formula>0</formula>
    </cfRule>
    <cfRule type="cellIs" dxfId="3" priority="58" operator="greater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FA56-5F38-4F08-8E59-006A8CBB8E69}">
  <sheetPr>
    <tabColor rgb="FF0070C0"/>
  </sheetPr>
  <dimension ref="A1:M23"/>
  <sheetViews>
    <sheetView showGridLines="0" topLeftCell="C1" zoomScale="66" zoomScaleNormal="100" workbookViewId="0">
      <selection activeCell="C1" sqref="C1"/>
    </sheetView>
  </sheetViews>
  <sheetFormatPr defaultColWidth="9.140625" defaultRowHeight="21.75" x14ac:dyDescent="0.25"/>
  <cols>
    <col min="1" max="1" width="0" style="114" hidden="1" customWidth="1"/>
    <col min="2" max="2" width="8.7109375" style="114" hidden="1" customWidth="1"/>
    <col min="3" max="3" width="5.28515625" style="65" customWidth="1"/>
    <col min="4" max="4" width="32.140625" style="65" customWidth="1"/>
    <col min="5" max="5" width="29.7109375" style="65" customWidth="1"/>
    <col min="6" max="6" width="1" style="65" customWidth="1"/>
    <col min="7" max="8" width="29.7109375" style="65" customWidth="1"/>
    <col min="9" max="9" width="1" style="65" customWidth="1"/>
    <col min="10" max="11" width="29.7109375" style="65" customWidth="1"/>
    <col min="12" max="12" width="1" style="65" customWidth="1"/>
    <col min="13" max="14" width="29.7109375" style="65" customWidth="1"/>
    <col min="15" max="15" width="1" style="65" customWidth="1"/>
    <col min="16" max="17" width="29.7109375" style="65" customWidth="1"/>
    <col min="18" max="18" width="1" style="65" customWidth="1"/>
    <col min="19" max="20" width="29.7109375" style="65" customWidth="1"/>
    <col min="21" max="21" width="1" style="65" customWidth="1"/>
    <col min="22" max="23" width="29.7109375" style="65" customWidth="1"/>
    <col min="24" max="24" width="1" style="65" customWidth="1"/>
    <col min="25" max="26" width="29.7109375" style="65" customWidth="1"/>
    <col min="27" max="27" width="1" style="65" customWidth="1"/>
    <col min="28" max="29" width="29.7109375" style="65" customWidth="1"/>
    <col min="30" max="30" width="1" style="65" customWidth="1"/>
    <col min="31" max="33" width="29.7109375" style="65" customWidth="1"/>
    <col min="34" max="16384" width="9.140625" style="65"/>
  </cols>
  <sheetData>
    <row r="1" spans="3:13" ht="59.25" customHeight="1" x14ac:dyDescent="0.25">
      <c r="D1" s="158"/>
      <c r="E1" s="158"/>
      <c r="F1" s="158"/>
      <c r="G1" s="158"/>
      <c r="H1" s="158"/>
    </row>
    <row r="2" spans="3:13" ht="24" customHeight="1" thickBot="1" x14ac:dyDescent="0.3">
      <c r="D2" s="115" t="s">
        <v>105</v>
      </c>
      <c r="E2" s="63"/>
      <c r="F2" s="63"/>
      <c r="G2" s="63"/>
      <c r="H2" s="63"/>
      <c r="I2" s="63"/>
      <c r="J2" s="116"/>
      <c r="K2" s="116"/>
      <c r="L2" s="63"/>
      <c r="M2" s="116"/>
    </row>
    <row r="3" spans="3:13" ht="14.25" customHeight="1" x14ac:dyDescent="0.25"/>
    <row r="4" spans="3:13" ht="14.25" customHeight="1" x14ac:dyDescent="0.25"/>
    <row r="5" spans="3:13" ht="14.25" customHeight="1" x14ac:dyDescent="0.25">
      <c r="D5" s="117" t="s">
        <v>106</v>
      </c>
    </row>
    <row r="6" spans="3:13" ht="14.25" customHeight="1" x14ac:dyDescent="0.25">
      <c r="D6" s="168" t="s">
        <v>127</v>
      </c>
    </row>
    <row r="7" spans="3:13" ht="14.25" customHeight="1" x14ac:dyDescent="0.25">
      <c r="D7" s="156" t="s">
        <v>46</v>
      </c>
      <c r="E7" s="157"/>
    </row>
    <row r="8" spans="3:13" ht="14.25" customHeight="1" x14ac:dyDescent="0.25">
      <c r="D8" s="118" t="s">
        <v>107</v>
      </c>
      <c r="E8" s="118" t="s">
        <v>84</v>
      </c>
    </row>
    <row r="9" spans="3:13" ht="27" customHeight="1" x14ac:dyDescent="0.25">
      <c r="D9" s="119">
        <v>0</v>
      </c>
      <c r="E9" s="120" cm="1">
        <f t="array" ref="E9">_xlfn.IFS(D9=$A$20,$B$20,D9&gt;=$A$21,$B$21)</f>
        <v>10000</v>
      </c>
    </row>
    <row r="10" spans="3:13" ht="14.25" customHeight="1" x14ac:dyDescent="0.25"/>
    <row r="11" spans="3:13" ht="14.25" customHeight="1" x14ac:dyDescent="0.25"/>
    <row r="12" spans="3:13" ht="14.25" customHeight="1" x14ac:dyDescent="0.25"/>
    <row r="13" spans="3:13" ht="14.25" customHeight="1" x14ac:dyDescent="0.25"/>
    <row r="14" spans="3:13" x14ac:dyDescent="0.25">
      <c r="C14" s="107"/>
      <c r="D14" s="128" t="s">
        <v>108</v>
      </c>
      <c r="E14" s="129"/>
      <c r="F14" s="129"/>
      <c r="G14" s="129"/>
      <c r="H14" s="129"/>
      <c r="I14" s="129"/>
      <c r="J14" s="129"/>
      <c r="K14" s="129"/>
      <c r="L14" s="129"/>
      <c r="M14" s="129"/>
    </row>
    <row r="15" spans="3:13" ht="5.0999999999999996" customHeight="1" x14ac:dyDescent="0.25">
      <c r="C15" s="107"/>
      <c r="D15" s="129"/>
      <c r="E15" s="129"/>
      <c r="F15" s="129"/>
      <c r="G15" s="129"/>
      <c r="H15" s="129"/>
      <c r="I15" s="129"/>
      <c r="J15" s="129"/>
      <c r="K15" s="129"/>
      <c r="L15" s="129"/>
      <c r="M15" s="129"/>
    </row>
    <row r="16" spans="3:13" x14ac:dyDescent="0.25">
      <c r="C16" s="107"/>
      <c r="D16" s="129" t="s">
        <v>109</v>
      </c>
      <c r="E16" s="129"/>
      <c r="F16" s="129"/>
      <c r="G16" s="129"/>
      <c r="H16" s="129"/>
      <c r="I16" s="129"/>
      <c r="J16" s="129"/>
      <c r="K16" s="129"/>
      <c r="L16" s="129"/>
      <c r="M16" s="129"/>
    </row>
    <row r="17" spans="1:13" ht="5.0999999999999996" customHeight="1" x14ac:dyDescent="0.25">
      <c r="C17" s="107"/>
      <c r="D17" s="129"/>
      <c r="E17" s="129"/>
      <c r="F17" s="129"/>
      <c r="G17" s="129"/>
      <c r="H17" s="129"/>
      <c r="I17" s="129"/>
      <c r="J17" s="129"/>
      <c r="K17" s="129"/>
      <c r="L17" s="129"/>
      <c r="M17" s="129"/>
    </row>
    <row r="18" spans="1:13" x14ac:dyDescent="0.25">
      <c r="A18" s="126"/>
      <c r="B18" s="126"/>
      <c r="C18" s="129"/>
      <c r="D18" s="130" t="s">
        <v>110</v>
      </c>
      <c r="E18" s="129"/>
      <c r="F18" s="129"/>
      <c r="G18" s="129"/>
      <c r="H18" s="129"/>
      <c r="I18" s="129"/>
      <c r="J18" s="129"/>
      <c r="K18" s="129"/>
      <c r="L18" s="129"/>
      <c r="M18" s="129"/>
    </row>
    <row r="19" spans="1:13" x14ac:dyDescent="0.25">
      <c r="A19" s="126"/>
      <c r="B19" s="126"/>
      <c r="C19" s="129"/>
      <c r="D19" s="131" t="s">
        <v>107</v>
      </c>
      <c r="E19" s="159" t="s">
        <v>92</v>
      </c>
      <c r="F19" s="160"/>
      <c r="G19" s="161"/>
      <c r="H19" s="129"/>
      <c r="I19" s="129"/>
      <c r="J19" s="129"/>
      <c r="K19" s="129"/>
      <c r="L19" s="129"/>
      <c r="M19" s="129"/>
    </row>
    <row r="20" spans="1:13" x14ac:dyDescent="0.25">
      <c r="A20" s="142">
        <v>0</v>
      </c>
      <c r="B20" s="143">
        <v>10000</v>
      </c>
      <c r="C20" s="129"/>
      <c r="D20" s="140">
        <v>0</v>
      </c>
      <c r="E20" s="135" t="s">
        <v>94</v>
      </c>
      <c r="F20" s="129"/>
      <c r="G20" s="136"/>
      <c r="H20" s="129"/>
      <c r="I20" s="129"/>
      <c r="J20" s="129"/>
      <c r="K20" s="129"/>
      <c r="L20" s="129"/>
      <c r="M20" s="129"/>
    </row>
    <row r="21" spans="1:13" x14ac:dyDescent="0.25">
      <c r="A21" s="142">
        <v>1</v>
      </c>
      <c r="B21" s="143">
        <v>-25000</v>
      </c>
      <c r="C21" s="129"/>
      <c r="D21" s="137" t="s">
        <v>103</v>
      </c>
      <c r="E21" s="137" t="s">
        <v>111</v>
      </c>
      <c r="F21" s="138"/>
      <c r="G21" s="139"/>
      <c r="H21" s="129"/>
      <c r="I21" s="129"/>
      <c r="J21" s="129"/>
      <c r="K21" s="129"/>
      <c r="L21" s="129"/>
      <c r="M21" s="129"/>
    </row>
    <row r="22" spans="1:13" ht="5.0999999999999996" customHeight="1" x14ac:dyDescent="0.25">
      <c r="A22" s="126"/>
      <c r="B22" s="126"/>
      <c r="C22" s="129"/>
      <c r="D22" s="129"/>
      <c r="E22" s="129"/>
      <c r="F22" s="129"/>
      <c r="G22" s="129"/>
      <c r="H22" s="129"/>
      <c r="I22" s="129"/>
      <c r="J22" s="129"/>
      <c r="K22" s="129"/>
      <c r="L22" s="129"/>
      <c r="M22" s="129"/>
    </row>
    <row r="23" spans="1:13" ht="21" customHeight="1" x14ac:dyDescent="0.25">
      <c r="A23" s="126"/>
      <c r="B23" s="126"/>
      <c r="C23" s="129"/>
      <c r="D23" s="162" t="s">
        <v>112</v>
      </c>
      <c r="E23" s="162"/>
      <c r="F23" s="162"/>
      <c r="G23" s="162"/>
      <c r="H23" s="162"/>
      <c r="I23" s="162"/>
      <c r="J23" s="162"/>
      <c r="K23" s="162"/>
      <c r="L23" s="162"/>
      <c r="M23" s="162"/>
    </row>
  </sheetData>
  <mergeCells count="4">
    <mergeCell ref="D23:M23"/>
    <mergeCell ref="E19:G19"/>
    <mergeCell ref="D1:H1"/>
    <mergeCell ref="D7:E7"/>
  </mergeCells>
  <conditionalFormatting sqref="E9">
    <cfRule type="cellIs" dxfId="2" priority="19" operator="lessThan">
      <formula>0</formula>
    </cfRule>
    <cfRule type="cellIs" dxfId="1" priority="20" operator="greater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4DAA-A6D5-4233-BF5A-BA18A0B1D525}">
  <sheetPr>
    <tabColor rgb="FF0070C0"/>
  </sheetPr>
  <dimension ref="A1:AH19"/>
  <sheetViews>
    <sheetView showGridLines="0" topLeftCell="C1" zoomScale="71" workbookViewId="0">
      <selection activeCell="D6" sqref="D6"/>
    </sheetView>
  </sheetViews>
  <sheetFormatPr defaultColWidth="9.140625" defaultRowHeight="21.75" x14ac:dyDescent="0.6"/>
  <cols>
    <col min="1" max="1" width="9.140625" style="112" hidden="1" customWidth="1"/>
    <col min="2" max="2" width="10.42578125" style="112" hidden="1" customWidth="1"/>
    <col min="3" max="3" width="5.28515625" style="113" customWidth="1"/>
    <col min="4" max="5" width="29.7109375" style="113" customWidth="1"/>
    <col min="6" max="6" width="1" style="113" customWidth="1"/>
    <col min="7" max="8" width="29.7109375" style="113" customWidth="1"/>
    <col min="9" max="9" width="1" style="113" customWidth="1"/>
    <col min="10" max="11" width="29.7109375" style="113" customWidth="1"/>
    <col min="12" max="12" width="1" style="113" customWidth="1"/>
    <col min="13" max="14" width="29.7109375" style="113" customWidth="1"/>
    <col min="15" max="15" width="1" style="113" customWidth="1"/>
    <col min="16" max="17" width="29.7109375" style="113" customWidth="1"/>
    <col min="18" max="18" width="1" style="113" customWidth="1"/>
    <col min="19" max="20" width="29.7109375" style="113" customWidth="1"/>
    <col min="21" max="21" width="1" style="113" customWidth="1"/>
    <col min="22" max="23" width="29.7109375" style="113" customWidth="1"/>
    <col min="24" max="24" width="1" style="113" customWidth="1"/>
    <col min="25" max="26" width="29.7109375" style="113" customWidth="1"/>
    <col min="27" max="27" width="1" style="113" customWidth="1"/>
    <col min="28" max="29" width="29.7109375" style="113" customWidth="1"/>
    <col min="30" max="30" width="1" style="113" customWidth="1"/>
    <col min="31" max="33" width="29.7109375" style="113" customWidth="1"/>
    <col min="34" max="16384" width="9.140625" style="113"/>
  </cols>
  <sheetData>
    <row r="1" spans="1:34" ht="59.25" customHeight="1" x14ac:dyDescent="0.6">
      <c r="D1" s="164"/>
      <c r="E1" s="164"/>
      <c r="F1" s="164"/>
      <c r="G1" s="164"/>
      <c r="H1" s="164"/>
    </row>
    <row r="2" spans="1:34" s="65" customFormat="1" ht="24" customHeight="1" thickBot="1" x14ac:dyDescent="0.65">
      <c r="A2" s="114"/>
      <c r="B2" s="114"/>
      <c r="D2" s="115" t="s">
        <v>113</v>
      </c>
      <c r="E2" s="63"/>
      <c r="F2" s="63"/>
      <c r="G2" s="63"/>
      <c r="H2" s="63"/>
      <c r="I2" s="63"/>
      <c r="J2" s="116"/>
      <c r="K2" s="116"/>
      <c r="L2" s="63"/>
      <c r="M2" s="116"/>
      <c r="N2" s="113"/>
      <c r="O2" s="113"/>
      <c r="P2" s="113"/>
      <c r="Q2" s="113"/>
      <c r="R2" s="113"/>
      <c r="S2" s="113"/>
      <c r="T2" s="113"/>
      <c r="U2" s="113"/>
      <c r="V2" s="113"/>
      <c r="W2" s="113"/>
      <c r="X2" s="113"/>
      <c r="Y2" s="113"/>
      <c r="Z2" s="113"/>
      <c r="AA2" s="113"/>
      <c r="AB2" s="113"/>
      <c r="AC2" s="113"/>
      <c r="AD2" s="113"/>
      <c r="AE2" s="113"/>
      <c r="AF2" s="113"/>
      <c r="AG2" s="113"/>
    </row>
    <row r="3" spans="1:34" s="65" customFormat="1" ht="14.25" customHeight="1" x14ac:dyDescent="0.6">
      <c r="A3" s="114"/>
      <c r="B3" s="114"/>
      <c r="N3" s="113"/>
      <c r="O3" s="113"/>
      <c r="P3" s="113"/>
      <c r="Q3" s="113"/>
      <c r="R3" s="113"/>
      <c r="S3" s="113"/>
      <c r="T3" s="113"/>
      <c r="U3" s="113"/>
      <c r="V3" s="113"/>
      <c r="W3" s="113"/>
      <c r="X3" s="113"/>
      <c r="Y3" s="113"/>
      <c r="Z3" s="113"/>
      <c r="AA3" s="113"/>
      <c r="AB3" s="113"/>
      <c r="AC3" s="113"/>
      <c r="AD3" s="113"/>
      <c r="AE3" s="113"/>
      <c r="AF3" s="113"/>
      <c r="AG3" s="113"/>
    </row>
    <row r="4" spans="1:34" s="65" customFormat="1" ht="14.25" customHeight="1" x14ac:dyDescent="0.25">
      <c r="A4" s="114"/>
      <c r="B4" s="114"/>
    </row>
    <row r="5" spans="1:34" s="65" customFormat="1" ht="14.25" customHeight="1" x14ac:dyDescent="0.6">
      <c r="A5" s="114"/>
      <c r="B5" s="114"/>
      <c r="D5" s="117" t="s">
        <v>114</v>
      </c>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1:34" s="65" customFormat="1" ht="14.25" customHeight="1" x14ac:dyDescent="0.6">
      <c r="A6" s="114"/>
      <c r="B6" s="114"/>
      <c r="D6" s="168" t="s">
        <v>127</v>
      </c>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row>
    <row r="7" spans="1:34" s="65" customFormat="1" ht="14.25" customHeight="1" x14ac:dyDescent="0.6">
      <c r="A7" s="114"/>
      <c r="B7" s="114"/>
      <c r="D7" s="156" t="s">
        <v>46</v>
      </c>
      <c r="E7" s="157"/>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row>
    <row r="8" spans="1:34" s="65" customFormat="1" ht="14.25" customHeight="1" x14ac:dyDescent="0.6">
      <c r="A8" s="114"/>
      <c r="B8" s="114"/>
      <c r="D8" s="118" t="s">
        <v>115</v>
      </c>
      <c r="E8" s="118" t="s">
        <v>116</v>
      </c>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row>
    <row r="9" spans="1:34" s="65" customFormat="1" ht="27" customHeight="1" x14ac:dyDescent="0.6">
      <c r="A9" s="114"/>
      <c r="B9" s="114"/>
      <c r="D9" s="119">
        <v>0</v>
      </c>
      <c r="E9" s="120">
        <f>IF((D9*$A$18)&gt;$B$18,$B$18,(D9*$A$18))</f>
        <v>0</v>
      </c>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row>
    <row r="10" spans="1:34" s="65" customFormat="1" ht="14.25" customHeight="1" x14ac:dyDescent="0.6">
      <c r="A10" s="114"/>
      <c r="B10" s="114"/>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row>
    <row r="11" spans="1:34" s="65" customFormat="1" ht="14.25" customHeight="1" x14ac:dyDescent="0.6">
      <c r="A11" s="114"/>
      <c r="B11" s="114"/>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row>
    <row r="12" spans="1:34" s="65" customFormat="1" ht="14.25" customHeight="1" x14ac:dyDescent="0.25">
      <c r="A12" s="114"/>
      <c r="B12" s="114"/>
    </row>
    <row r="13" spans="1:34" s="65" customFormat="1" ht="14.25" customHeight="1" x14ac:dyDescent="0.25">
      <c r="A13" s="114"/>
      <c r="B13" s="114"/>
    </row>
    <row r="14" spans="1:34" s="147" customFormat="1" x14ac:dyDescent="0.6">
      <c r="A14" s="144"/>
      <c r="B14" s="144"/>
      <c r="C14" s="145"/>
      <c r="D14" s="123" t="s">
        <v>117</v>
      </c>
      <c r="E14" s="146"/>
      <c r="F14" s="146"/>
      <c r="G14" s="146"/>
      <c r="H14" s="146"/>
      <c r="I14" s="146"/>
      <c r="J14" s="146"/>
      <c r="K14" s="146"/>
      <c r="L14" s="146"/>
      <c r="M14" s="146"/>
    </row>
    <row r="15" spans="1:34" ht="5.0999999999999996" customHeight="1" x14ac:dyDescent="0.6">
      <c r="C15" s="122"/>
      <c r="D15" s="124"/>
      <c r="E15" s="124"/>
      <c r="F15" s="124"/>
      <c r="G15" s="124"/>
      <c r="H15" s="124"/>
      <c r="I15" s="124"/>
      <c r="J15" s="124"/>
      <c r="K15" s="124"/>
      <c r="L15" s="124"/>
      <c r="M15" s="124"/>
    </row>
    <row r="16" spans="1:34" x14ac:dyDescent="0.6">
      <c r="C16" s="122"/>
      <c r="D16" s="124" t="s">
        <v>109</v>
      </c>
      <c r="E16" s="124"/>
      <c r="F16" s="124"/>
      <c r="G16" s="124"/>
      <c r="H16" s="124"/>
      <c r="I16" s="124"/>
      <c r="J16" s="124"/>
      <c r="K16" s="124"/>
      <c r="L16" s="124"/>
      <c r="M16" s="124"/>
    </row>
    <row r="17" spans="1:13" ht="5.0999999999999996" customHeight="1" x14ac:dyDescent="0.6">
      <c r="C17" s="122"/>
      <c r="D17" s="124"/>
      <c r="E17" s="124"/>
      <c r="F17" s="124"/>
      <c r="G17" s="124"/>
      <c r="H17" s="124"/>
      <c r="I17" s="124"/>
      <c r="J17" s="124"/>
      <c r="K17" s="124"/>
      <c r="L17" s="124"/>
      <c r="M17" s="124"/>
    </row>
    <row r="18" spans="1:13" ht="93.95" customHeight="1" x14ac:dyDescent="0.6">
      <c r="A18" s="127">
        <v>100000</v>
      </c>
      <c r="B18" s="127">
        <v>1000000</v>
      </c>
      <c r="C18" s="124"/>
      <c r="D18" s="163" t="s">
        <v>119</v>
      </c>
      <c r="E18" s="163"/>
      <c r="F18" s="163"/>
      <c r="G18" s="163"/>
      <c r="H18" s="163"/>
      <c r="I18" s="163"/>
      <c r="J18" s="163"/>
      <c r="K18" s="163"/>
      <c r="L18" s="163"/>
      <c r="M18" s="163"/>
    </row>
    <row r="19" spans="1:13" ht="5.0999999999999996" customHeight="1" x14ac:dyDescent="0.6">
      <c r="A19" s="125"/>
      <c r="B19" s="125"/>
      <c r="C19" s="124"/>
      <c r="D19" s="124"/>
      <c r="E19" s="124"/>
      <c r="F19" s="124"/>
      <c r="G19" s="124"/>
      <c r="H19" s="124"/>
      <c r="I19" s="124"/>
      <c r="J19" s="124"/>
      <c r="K19" s="124"/>
      <c r="L19" s="124"/>
      <c r="M19" s="124"/>
    </row>
  </sheetData>
  <mergeCells count="3">
    <mergeCell ref="D18:M18"/>
    <mergeCell ref="D1:H1"/>
    <mergeCell ref="D7:E7"/>
  </mergeCells>
  <conditionalFormatting sqref="E9">
    <cfRule type="cellIs" dxfId="0" priority="1" operator="greaterThan">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d9865d-c7d0-4288-ab0a-9d4dee1c94e8">
      <Terms xmlns="http://schemas.microsoft.com/office/infopath/2007/PartnerControls"/>
    </lcf76f155ced4ddcb4097134ff3c332f>
    <TaxCatchAll xmlns="80985e37-4d14-49b1-85af-18f353798b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6202C57E8A91488ECE962D63A71F10" ma:contentTypeVersion="26" ma:contentTypeDescription="Create a new document." ma:contentTypeScope="" ma:versionID="2339b108487f20b57bb46eeb36f9d338">
  <xsd:schema xmlns:xsd="http://www.w3.org/2001/XMLSchema" xmlns:xs="http://www.w3.org/2001/XMLSchema" xmlns:p="http://schemas.microsoft.com/office/2006/metadata/properties" xmlns:ns2="6bd9865d-c7d0-4288-ab0a-9d4dee1c94e8" xmlns:ns3="80985e37-4d14-49b1-85af-18f353798ba1" targetNamespace="http://schemas.microsoft.com/office/2006/metadata/properties" ma:root="true" ma:fieldsID="789ad80b259fc565a71a9b9da29e3049" ns2:_="" ns3:_="">
    <xsd:import namespace="6bd9865d-c7d0-4288-ab0a-9d4dee1c94e8"/>
    <xsd:import namespace="80985e37-4d14-49b1-85af-18f353798b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9865d-c7d0-4288-ab0a-9d4dee1c94e8"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7" nillable="true" ma:displayName="MediaServiceObjectDetectorVersions" ma:hidden="true" ma:indexed="true" ma:internalName="MediaServiceObjectDetectorVersions" ma:readOnly="true">
      <xsd:simpleType>
        <xsd:restriction base="dms:Text"/>
      </xsd:simpleType>
    </xsd:element>
    <xsd:element name="MediaServiceSearchProperties" ma:index="8"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76c244-545e-4324-b4dc-13be35ff8a8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85e37-4d14-49b1-85af-18f353798ba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69fcf3-ba46-420f-a2cc-51ea91006ef1}" ma:internalName="TaxCatchAll" ma:showField="CatchAllData" ma:web="80985e37-4d14-49b1-85af-18f353798b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87955F-1DC1-46BF-B345-FDA62946099F}">
  <ds:schemaRefs>
    <ds:schemaRef ds:uri="http://schemas.microsoft.com/sharepoint/v3/contenttype/forms"/>
  </ds:schemaRefs>
</ds:datastoreItem>
</file>

<file path=customXml/itemProps2.xml><?xml version="1.0" encoding="utf-8"?>
<ds:datastoreItem xmlns:ds="http://schemas.openxmlformats.org/officeDocument/2006/customXml" ds:itemID="{2EA74673-10CD-473F-BC85-EC943F243E84}">
  <ds:schemaRef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ec1c0c55-e70b-4746-9259-05b534eadb60"/>
    <ds:schemaRef ds:uri="5560dc04-d12f-4daa-a10d-fbebb1263468"/>
    <ds:schemaRef ds:uri="http://schemas.microsoft.com/office/2006/metadata/properties"/>
  </ds:schemaRefs>
</ds:datastoreItem>
</file>

<file path=customXml/itemProps3.xml><?xml version="1.0" encoding="utf-8"?>
<ds:datastoreItem xmlns:ds="http://schemas.openxmlformats.org/officeDocument/2006/customXml" ds:itemID="{93331011-D59D-47BF-8BF2-754AC33DC5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FY24 Actual Savings</vt:lpstr>
      <vt:lpstr>TM Gens Savings</vt:lpstr>
      <vt:lpstr>Fuel Optimization</vt:lpstr>
      <vt:lpstr>Safety Compliance</vt:lpstr>
      <vt:lpstr>Environmental Compliance</vt:lpstr>
      <vt:lpstr>Reporting Obligations</vt:lpstr>
      <vt:lpstr>'FY24 Actual Savings'!Print_Area</vt:lpstr>
      <vt:lpstr>'TM Gens Savings'!Print_Area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RRC</dc:creator>
  <cp:keywords/>
  <dc:description/>
  <cp:lastModifiedBy>Alejandro  Maymi Ronda</cp:lastModifiedBy>
  <cp:revision/>
  <cp:lastPrinted>2024-07-11T19:30:19Z</cp:lastPrinted>
  <dcterms:created xsi:type="dcterms:W3CDTF">2023-09-28T16:46:36Z</dcterms:created>
  <dcterms:modified xsi:type="dcterms:W3CDTF">2024-07-31T19:22:22Z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0x010100356202C57E8A91488ECE962D63A71F10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