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E46FA3FE-28EA-405B-8F34-AF49A3C09944}" xr6:coauthVersionLast="47" xr6:coauthVersionMax="47" xr10:uidLastSave="{00000000-0000-0000-0000-000000000000}"/>
  <bookViews>
    <workbookView xWindow="-120" yWindow="-120" windowWidth="29040" windowHeight="15720" xr2:uid="{CCF2E6A0-B019-485A-A80D-0921309D5455}"/>
  </bookViews>
  <sheets>
    <sheet name="Cover" sheetId="45" r:id="rId1"/>
    <sheet name="Financial&gt;&gt;&gt;" sheetId="14" r:id="rId2"/>
    <sheet name="B2A Summary" sheetId="35" r:id="rId3"/>
    <sheet name="Monthly Revenues" sheetId="52" r:id="rId4"/>
    <sheet name="A216810396964DCDB399904ED81BA8E" sheetId="61" state="veryHidden" r:id="rId5"/>
    <sheet name="S" sheetId="62" state="veryHidden" r:id="rId6"/>
    <sheet name="Monthly Expenses" sheetId="6" r:id="rId7"/>
    <sheet name="Variances Detail" sheetId="56" r:id="rId8"/>
    <sheet name="Pension and Benefits" sheetId="55" r:id="rId9"/>
    <sheet name="Source Docs&gt;&gt;&gt;" sheetId="26" r:id="rId10"/>
    <sheet name="Expenses_FY25B" sheetId="53" r:id="rId11"/>
    <sheet name="Revenue_FY25B" sheetId="5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____12373990" localSheetId="10" hidden="1">#REF!</definedName>
    <definedName name="_____12373990" localSheetId="8" hidden="1">#REF!</definedName>
    <definedName name="_____12373990" localSheetId="11" hidden="1">#REF!</definedName>
    <definedName name="_____12373990" hidden="1">#REF!</definedName>
    <definedName name="_____20316327" localSheetId="10" hidden="1">#REF!</definedName>
    <definedName name="_____20316327" localSheetId="8" hidden="1">#REF!</definedName>
    <definedName name="_____20316327" localSheetId="11" hidden="1">#REF!</definedName>
    <definedName name="_____20316327" hidden="1">#REF!</definedName>
    <definedName name="_____26559955" localSheetId="8" hidden="1">#REF!</definedName>
    <definedName name="_____26559955" hidden="1">#REF!</definedName>
    <definedName name="_____26617992" localSheetId="8" hidden="1">#REF!</definedName>
    <definedName name="_____26617992" hidden="1">#REF!</definedName>
    <definedName name="_____27743197" localSheetId="8" hidden="1">#REF!</definedName>
    <definedName name="_____27743197" hidden="1">#REF!</definedName>
    <definedName name="_____29735166" localSheetId="8" hidden="1">#REF!</definedName>
    <definedName name="_____29735166" hidden="1">#REF!</definedName>
    <definedName name="_____34935946" localSheetId="8" hidden="1">#REF!</definedName>
    <definedName name="_____34935946" hidden="1">#REF!</definedName>
    <definedName name="_____38776458" localSheetId="8" hidden="1">#REF!</definedName>
    <definedName name="_____38776458" hidden="1">#REF!</definedName>
    <definedName name="_____45491100" localSheetId="8" hidden="1">#REF!</definedName>
    <definedName name="_____45491100" hidden="1">#REF!</definedName>
    <definedName name="_____46059514" localSheetId="8" hidden="1">#REF!</definedName>
    <definedName name="_____46059514" hidden="1">#REF!</definedName>
    <definedName name="_____4952205" localSheetId="8" hidden="1">#REF!</definedName>
    <definedName name="_____4952205" hidden="1">#REF!</definedName>
    <definedName name="_____50213469" localSheetId="8" hidden="1">#REF!</definedName>
    <definedName name="_____50213469" hidden="1">#REF!</definedName>
    <definedName name="_____50747318" localSheetId="8" hidden="1">#REF!</definedName>
    <definedName name="_____50747318" hidden="1">#REF!</definedName>
    <definedName name="_____52407319" localSheetId="8" hidden="1">#REF!</definedName>
    <definedName name="_____52407319" hidden="1">#REF!</definedName>
    <definedName name="_____52819467" localSheetId="8" hidden="1">#REF!</definedName>
    <definedName name="_____52819467" hidden="1">#REF!</definedName>
    <definedName name="_____69542641" localSheetId="8" hidden="1">#REF!</definedName>
    <definedName name="_____69542641" hidden="1">#REF!</definedName>
    <definedName name="_____72294719" localSheetId="8" hidden="1">#REF!</definedName>
    <definedName name="_____72294719" hidden="1">#REF!</definedName>
    <definedName name="_____73489494" localSheetId="8" hidden="1">#REF!</definedName>
    <definedName name="_____73489494" hidden="1">#REF!</definedName>
    <definedName name="__123Graph_A" hidden="1">'[1]Month 8'!#REF!</definedName>
    <definedName name="__123Graph_A2" hidden="1">'[2]August 2009'!#REF!</definedName>
    <definedName name="__123Graph_ADSM" localSheetId="8" hidden="1">#REF!</definedName>
    <definedName name="__123Graph_ADSM" localSheetId="7" hidden="1">#REF!</definedName>
    <definedName name="__123Graph_ADSM" hidden="1">#REF!</definedName>
    <definedName name="__123Graph_AGraph17" localSheetId="10" hidden="1">#REF!</definedName>
    <definedName name="__123Graph_AGraph17" localSheetId="3" hidden="1">#REF!</definedName>
    <definedName name="__123Graph_AGraph17" localSheetId="8" hidden="1">#REF!</definedName>
    <definedName name="__123Graph_AGraph17" localSheetId="11" hidden="1">#REF!</definedName>
    <definedName name="__123Graph_AGraph17" hidden="1">#REF!</definedName>
    <definedName name="__123Graph_AGROSSREQ" localSheetId="8" hidden="1">#REF!</definedName>
    <definedName name="__123Graph_AGROSSREQ" hidden="1">#REF!</definedName>
    <definedName name="__123Graph_APEAKS" localSheetId="8" hidden="1">#REF!</definedName>
    <definedName name="__123Graph_APEAKS" hidden="1">#REF!</definedName>
    <definedName name="__123Graph_APKDEMAND" localSheetId="8" hidden="1">#REF!</definedName>
    <definedName name="__123Graph_APKDEMAND" hidden="1">#REF!</definedName>
    <definedName name="__123Graph_APOPSALES" localSheetId="8" hidden="1">#REF!</definedName>
    <definedName name="__123Graph_APOPSALES" hidden="1">#REF!</definedName>
    <definedName name="__123Graph_ASALEBAND" localSheetId="8" hidden="1">#REF!</definedName>
    <definedName name="__123Graph_ASALEBAND" hidden="1">#REF!</definedName>
    <definedName name="__123Graph_ASALECOMP" localSheetId="8" hidden="1">#REF!</definedName>
    <definedName name="__123Graph_ASALECOMP" hidden="1">#REF!</definedName>
    <definedName name="__123Graph_ASALES" localSheetId="8" hidden="1">#REF!</definedName>
    <definedName name="__123Graph_ASALES" hidden="1">#REF!</definedName>
    <definedName name="__123Graph_ATAB13" localSheetId="8" hidden="1">#REF!</definedName>
    <definedName name="__123Graph_ATAB13" hidden="1">#REF!</definedName>
    <definedName name="__123Graph_AUSERATE" localSheetId="8" hidden="1">#REF!</definedName>
    <definedName name="__123Graph_AUSERATE" hidden="1">#REF!</definedName>
    <definedName name="__123Graph_B" localSheetId="10" hidden="1">[3]Sheet1!#REF!</definedName>
    <definedName name="__123Graph_B" localSheetId="3" hidden="1">[3]Sheet1!#REF!</definedName>
    <definedName name="__123Graph_B" localSheetId="11" hidden="1">[3]Sheet1!#REF!</definedName>
    <definedName name="__123Graph_B" hidden="1">[3]Sheet1!#REF!</definedName>
    <definedName name="__123Graph_BGraph17" localSheetId="10" hidden="1">#REF!</definedName>
    <definedName name="__123Graph_BGraph17" localSheetId="3" hidden="1">#REF!</definedName>
    <definedName name="__123Graph_BGraph17" localSheetId="8" hidden="1">#REF!</definedName>
    <definedName name="__123Graph_BGraph17" localSheetId="11" hidden="1">#REF!</definedName>
    <definedName name="__123Graph_BGraph17" hidden="1">#REF!</definedName>
    <definedName name="__123Graph_BGROSSREQ" localSheetId="8" hidden="1">#REF!</definedName>
    <definedName name="__123Graph_BGROSSREQ" hidden="1">#REF!</definedName>
    <definedName name="__123Graph_BPEAKS" localSheetId="8" hidden="1">#REF!</definedName>
    <definedName name="__123Graph_BPEAKS" hidden="1">#REF!</definedName>
    <definedName name="__123Graph_BPKDEMAND" localSheetId="8" hidden="1">#REF!</definedName>
    <definedName name="__123Graph_BPKDEMAND" hidden="1">#REF!</definedName>
    <definedName name="__123Graph_BPOPSALES" localSheetId="8" hidden="1">#REF!</definedName>
    <definedName name="__123Graph_BPOPSALES" hidden="1">#REF!</definedName>
    <definedName name="__123Graph_BSALEBAND" localSheetId="8" hidden="1">#REF!</definedName>
    <definedName name="__123Graph_BSALEBAND" hidden="1">#REF!</definedName>
    <definedName name="__123Graph_BSALECOMP" localSheetId="8" hidden="1">#REF!</definedName>
    <definedName name="__123Graph_BSALECOMP" hidden="1">#REF!</definedName>
    <definedName name="__123Graph_BSALES" localSheetId="8" hidden="1">#REF!</definedName>
    <definedName name="__123Graph_BSALES" hidden="1">#REF!</definedName>
    <definedName name="__123Graph_BTAB13" localSheetId="8" hidden="1">#REF!</definedName>
    <definedName name="__123Graph_BTAB13" hidden="1">#REF!</definedName>
    <definedName name="__123Graph_BUSERATE" localSheetId="8" hidden="1">#REF!</definedName>
    <definedName name="__123Graph_BUSERATE" hidden="1">#REF!</definedName>
    <definedName name="__123Graph_C" localSheetId="10" hidden="1">'[1]Month 8'!#REF!</definedName>
    <definedName name="__123Graph_C" localSheetId="3" hidden="1">'[1]Month 8'!#REF!</definedName>
    <definedName name="__123Graph_C" localSheetId="11" hidden="1">'[1]Month 8'!#REF!</definedName>
    <definedName name="__123Graph_C" hidden="1">'[1]Month 8'!#REF!</definedName>
    <definedName name="__123Graph_CGraph17" localSheetId="10" hidden="1">#REF!</definedName>
    <definedName name="__123Graph_CGraph17" localSheetId="3" hidden="1">#REF!</definedName>
    <definedName name="__123Graph_CGraph17" localSheetId="8" hidden="1">#REF!</definedName>
    <definedName name="__123Graph_CGraph17" localSheetId="11" hidden="1">#REF!</definedName>
    <definedName name="__123Graph_CGraph17" hidden="1">#REF!</definedName>
    <definedName name="__123Graph_CGROSSREQ" localSheetId="8" hidden="1">#REF!</definedName>
    <definedName name="__123Graph_CGROSSREQ" hidden="1">#REF!</definedName>
    <definedName name="__123Graph_CPEAKS" localSheetId="8" hidden="1">#REF!</definedName>
    <definedName name="__123Graph_CPEAKS" hidden="1">#REF!</definedName>
    <definedName name="__123Graph_CPKDEMAND" localSheetId="8" hidden="1">#REF!</definedName>
    <definedName name="__123Graph_CPKDEMAND" hidden="1">#REF!</definedName>
    <definedName name="__123Graph_CSALEBAND" localSheetId="8" hidden="1">#REF!</definedName>
    <definedName name="__123Graph_CSALEBAND" hidden="1">#REF!</definedName>
    <definedName name="__123Graph_CSALES" localSheetId="8" hidden="1">#REF!</definedName>
    <definedName name="__123Graph_CSALES" hidden="1">#REF!</definedName>
    <definedName name="__123Graph_CTAB13" localSheetId="8" hidden="1">#REF!</definedName>
    <definedName name="__123Graph_CTAB13" hidden="1">#REF!</definedName>
    <definedName name="__123Graph_D" localSheetId="10" hidden="1">'[1]Month 8'!#REF!</definedName>
    <definedName name="__123Graph_D" localSheetId="3" hidden="1">'[1]Month 8'!#REF!</definedName>
    <definedName name="__123Graph_D" localSheetId="11" hidden="1">'[1]Month 8'!#REF!</definedName>
    <definedName name="__123Graph_D" hidden="1">'[1]Month 8'!#REF!</definedName>
    <definedName name="__123Graph_DGraph17" localSheetId="10" hidden="1">#REF!</definedName>
    <definedName name="__123Graph_DGraph17" localSheetId="3" hidden="1">#REF!</definedName>
    <definedName name="__123Graph_DGraph17" localSheetId="8" hidden="1">#REF!</definedName>
    <definedName name="__123Graph_DGraph17" localSheetId="11" hidden="1">#REF!</definedName>
    <definedName name="__123Graph_DGraph17" hidden="1">#REF!</definedName>
    <definedName name="__123Graph_DPEAKS" localSheetId="8" hidden="1">#REF!</definedName>
    <definedName name="__123Graph_DPEAKS" hidden="1">#REF!</definedName>
    <definedName name="__123Graph_DSALES" localSheetId="8" hidden="1">#REF!</definedName>
    <definedName name="__123Graph_DSALES" hidden="1">#REF!</definedName>
    <definedName name="__123Graph_DTAB13" localSheetId="8" hidden="1">#REF!</definedName>
    <definedName name="__123Graph_DTAB13" hidden="1">#REF!</definedName>
    <definedName name="__123Graph_EGraph17" localSheetId="8" hidden="1">#REF!</definedName>
    <definedName name="__123Graph_EGraph17" hidden="1">#REF!</definedName>
    <definedName name="__123Graph_ETAB13" localSheetId="8" hidden="1">#REF!</definedName>
    <definedName name="__123Graph_ETAB13" hidden="1">#REF!</definedName>
    <definedName name="__123Graph_FTAB13" localSheetId="8" hidden="1">#REF!</definedName>
    <definedName name="__123Graph_FTAB13" hidden="1">#REF!</definedName>
    <definedName name="__123Graph_X" localSheetId="8" hidden="1">#REF!</definedName>
    <definedName name="__123Graph_X" hidden="1">#REF!</definedName>
    <definedName name="__123Graph_XDSM" localSheetId="8" hidden="1">#REF!</definedName>
    <definedName name="__123Graph_XDSM" hidden="1">#REF!</definedName>
    <definedName name="__123Graph_XGROSSREQ" localSheetId="8" hidden="1">#REF!</definedName>
    <definedName name="__123Graph_XGROSSREQ" hidden="1">#REF!</definedName>
    <definedName name="__123Graph_XPEAKS" localSheetId="8" hidden="1">#REF!</definedName>
    <definedName name="__123Graph_XPEAKS" hidden="1">#REF!</definedName>
    <definedName name="__123Graph_XPKDEMAND" localSheetId="8" hidden="1">#REF!</definedName>
    <definedName name="__123Graph_XPKDEMAND" hidden="1">#REF!</definedName>
    <definedName name="__123Graph_XPOPSALES" localSheetId="8" hidden="1">#REF!</definedName>
    <definedName name="__123Graph_XPOPSALES" hidden="1">#REF!</definedName>
    <definedName name="__123Graph_XSALEBAND" localSheetId="8" hidden="1">#REF!</definedName>
    <definedName name="__123Graph_XSALEBAND" hidden="1">#REF!</definedName>
    <definedName name="__123Graph_XSALECOMP" localSheetId="8" hidden="1">#REF!</definedName>
    <definedName name="__123Graph_XSALECOMP" hidden="1">#REF!</definedName>
    <definedName name="__123Graph_XSALES" localSheetId="8" hidden="1">#REF!</definedName>
    <definedName name="__123Graph_XSALES" hidden="1">#REF!</definedName>
    <definedName name="__123Graph_XTAB13" localSheetId="8" hidden="1">#REF!</definedName>
    <definedName name="__123Graph_XTAB13" hidden="1">#REF!</definedName>
    <definedName name="__123Graph_XUSERATE" localSheetId="8" hidden="1">#REF!</definedName>
    <definedName name="__123Graph_XUSERATE" hidden="1">#REF!</definedName>
    <definedName name="__IntlFixup" hidden="1">TRUE</definedName>
    <definedName name="_1__123Graph_ACHART_1" localSheetId="10" hidden="1">#REF!</definedName>
    <definedName name="_1__123Graph_ACHART_1" localSheetId="3" hidden="1">#REF!</definedName>
    <definedName name="_1__123Graph_ACHART_1" localSheetId="8" hidden="1">#REF!</definedName>
    <definedName name="_1__123Graph_ACHART_1" localSheetId="11" hidden="1">#REF!</definedName>
    <definedName name="_1__123Graph_ACHART_1" hidden="1">#REF!</definedName>
    <definedName name="_1__123Graph_AR_M_MARG" localSheetId="10" hidden="1">[4]P!#REF!</definedName>
    <definedName name="_1__123Graph_AR_M_MARG" localSheetId="3" hidden="1">[4]P!#REF!</definedName>
    <definedName name="_1__123Graph_AR_M_MARG" localSheetId="11" hidden="1">[4]P!#REF!</definedName>
    <definedName name="_1__123Graph_AR_M_MARG" hidden="1">[4]P!#REF!</definedName>
    <definedName name="_10__123Graph_DCHART_1" hidden="1">[5]Potash!$K$10:$K$64</definedName>
    <definedName name="_11__123Graph_DCHART_3" localSheetId="8" hidden="1">#REF!</definedName>
    <definedName name="_11__123Graph_DCHART_3" localSheetId="7" hidden="1">#REF!</definedName>
    <definedName name="_11__123Graph_DCHART_3" hidden="1">#REF!</definedName>
    <definedName name="_2__123Graph_ACHART_2" localSheetId="10" hidden="1">#REF!</definedName>
    <definedName name="_2__123Graph_ACHART_2" localSheetId="8" hidden="1">#REF!</definedName>
    <definedName name="_2__123Graph_ACHART_2" localSheetId="11" hidden="1">#REF!</definedName>
    <definedName name="_2__123Graph_ACHART_2" hidden="1">#REF!</definedName>
    <definedName name="_3__123Graph_ACHART_3" localSheetId="8" hidden="1">#REF!</definedName>
    <definedName name="_3__123Graph_ACHART_3" hidden="1">#REF!</definedName>
    <definedName name="_3_0__123Grap" hidden="1">[6]LANSING!#REF!</definedName>
    <definedName name="_4__123Graph_BCHART_1" localSheetId="10" hidden="1">#REF!</definedName>
    <definedName name="_4__123Graph_BCHART_1" localSheetId="8" hidden="1">#REF!</definedName>
    <definedName name="_4__123Graph_BCHART_1" localSheetId="11" hidden="1">#REF!</definedName>
    <definedName name="_4__123Graph_BCHART_1" hidden="1">#REF!</definedName>
    <definedName name="_5__123Graph_BCHART_2" hidden="1">'[5]Pot Drivers'!$I$6:$I$61</definedName>
    <definedName name="_5__123Graph_CCHART_1" localSheetId="10" hidden="1">#REF!</definedName>
    <definedName name="_5__123Graph_CCHART_1" localSheetId="8" hidden="1">#REF!</definedName>
    <definedName name="_5__123Graph_CCHART_1" localSheetId="11" hidden="1">#REF!</definedName>
    <definedName name="_5__123Graph_CCHART_1" hidden="1">#REF!</definedName>
    <definedName name="_6__123Graph_BCHART_3" localSheetId="8" hidden="1">#REF!</definedName>
    <definedName name="_6__123Graph_BCHART_3" hidden="1">#REF!</definedName>
    <definedName name="_6__123Graph_DCHART_1" localSheetId="10" hidden="1">#REF!</definedName>
    <definedName name="_6__123Graph_DCHART_1" localSheetId="8" hidden="1">#REF!</definedName>
    <definedName name="_6__123Graph_DCHART_1" localSheetId="11" hidden="1">#REF!</definedName>
    <definedName name="_6__123Graph_DCHART_1" hidden="1">#REF!</definedName>
    <definedName name="_7__123Graph_CCHART_1" hidden="1">[5]Potash!$D$9:$D$66</definedName>
    <definedName name="_7__123Graph_XCHART_2" localSheetId="10" hidden="1">#REF!</definedName>
    <definedName name="_7__123Graph_XCHART_2" localSheetId="8" hidden="1">#REF!</definedName>
    <definedName name="_7__123Graph_XCHART_2" localSheetId="11" hidden="1">#REF!</definedName>
    <definedName name="_7__123Graph_XCHART_2" hidden="1">#REF!</definedName>
    <definedName name="_8__123Graph_CCHART_2" hidden="1">'[5]Pot Drivers'!$H$6:$H$62</definedName>
    <definedName name="_8__123Graph_XCHART_3" localSheetId="10" hidden="1">#REF!</definedName>
    <definedName name="_8__123Graph_XCHART_3" localSheetId="8" hidden="1">#REF!</definedName>
    <definedName name="_8__123Graph_XCHART_3" localSheetId="11" hidden="1">#REF!</definedName>
    <definedName name="_8__123Graph_XCHART_3" hidden="1">#REF!</definedName>
    <definedName name="_9__123Graph_CCHART_3" localSheetId="8" hidden="1">#REF!</definedName>
    <definedName name="_9__123Graph_CCHART_3" hidden="1">#REF!</definedName>
    <definedName name="_AI" localSheetId="10" hidden="1">#REF!</definedName>
    <definedName name="_AI" localSheetId="8" hidden="1">#REF!</definedName>
    <definedName name="_AI" localSheetId="11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14FD9419BB94533AF28C034C312B1BE.edm" localSheetId="8" hidden="1">#REF!</definedName>
    <definedName name="_bdm.014FD9419BB94533AF28C034C312B1BE.edm" hidden="1">#REF!</definedName>
    <definedName name="_bdm.095e75f33956414fae7b0c9bbb98fade.edm" localSheetId="8" hidden="1">#REF!</definedName>
    <definedName name="_bdm.095e75f33956414fae7b0c9bbb98fade.edm" hidden="1">#REF!</definedName>
    <definedName name="_bdm.0adb93bbf74446e6827eeefb83e21a2a.edm" localSheetId="8" hidden="1">#REF!</definedName>
    <definedName name="_bdm.0adb93bbf74446e6827eeefb83e21a2a.edm" hidden="1">#REF!</definedName>
    <definedName name="_bdm.0E59881AC0E44B969D48761DB6FC33B5.edm" localSheetId="8" hidden="1">#REF!</definedName>
    <definedName name="_bdm.0E59881AC0E44B969D48761DB6FC33B5.edm" hidden="1">#REF!</definedName>
    <definedName name="_bdm.204033D4E7FD4DE6A67166AE14521930.edm" localSheetId="8" hidden="1">#REF!</definedName>
    <definedName name="_bdm.204033D4E7FD4DE6A67166AE14521930.edm" hidden="1">#REF!</definedName>
    <definedName name="_bdm.380e1303da744dfdbf6ccba50b770a08.edm" localSheetId="8" hidden="1">#REF!</definedName>
    <definedName name="_bdm.380e1303da744dfdbf6ccba50b770a08.edm" hidden="1">#REF!</definedName>
    <definedName name="_bdm.49839103C83A42EE84CD8C2DBEF4C623.edm" localSheetId="8" hidden="1">#REF!</definedName>
    <definedName name="_bdm.49839103C83A42EE84CD8C2DBEF4C623.edm" hidden="1">#REF!</definedName>
    <definedName name="_bdm.4F57087C3D484196BD4BED70B94B1680.edm" localSheetId="8" hidden="1">#REF!</definedName>
    <definedName name="_bdm.4F57087C3D484196BD4BED70B94B1680.edm" hidden="1">#REF!</definedName>
    <definedName name="_bdm.54FEDCB6892A471383BE72D0E6F4DF4C.edm" localSheetId="8" hidden="1">#REF!</definedName>
    <definedName name="_bdm.54FEDCB6892A471383BE72D0E6F4DF4C.edm" hidden="1">#REF!</definedName>
    <definedName name="_bdm.6333969F14C7422A979F88C002ADBC03.edm" localSheetId="8" hidden="1">#REF!</definedName>
    <definedName name="_bdm.6333969F14C7422A979F88C002ADBC03.edm" hidden="1">#REF!</definedName>
    <definedName name="_bdm.6DDFF3E8FE4D473EA5157150B0FBA502.edm" localSheetId="8" hidden="1">#REF!</definedName>
    <definedName name="_bdm.6DDFF3E8FE4D473EA5157150B0FBA502.edm" hidden="1">#REF!</definedName>
    <definedName name="_bdm.83ce03a788c345deb98cab037a1dd39f.edm" localSheetId="8" hidden="1">#REF!</definedName>
    <definedName name="_bdm.83ce03a788c345deb98cab037a1dd39f.edm" hidden="1">#REF!</definedName>
    <definedName name="_bdm.866DD84208EE4C9AB603A9AAD8FE1930.edm" localSheetId="8" hidden="1">#REF!</definedName>
    <definedName name="_bdm.866DD84208EE4C9AB603A9AAD8FE1930.edm" hidden="1">#REF!</definedName>
    <definedName name="_bdm.98B65313C9A94C659B8680866B9FCD86.edm" localSheetId="8" hidden="1">#REF!</definedName>
    <definedName name="_bdm.98B65313C9A94C659B8680866B9FCD86.edm" hidden="1">#REF!</definedName>
    <definedName name="_bdm.C2D188A744CB405CA437BE468542B365.edm" localSheetId="8" hidden="1">#REF!</definedName>
    <definedName name="_bdm.C2D188A744CB405CA437BE468542B365.edm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localSheetId="7" hidden="1">#REF!</definedName>
    <definedName name="_Fill" hidden="1">#REF!</definedName>
    <definedName name="_Fill2" localSheetId="10" hidden="1">'[7]2-US_PRICE'!#REF!</definedName>
    <definedName name="_Fill2" localSheetId="11" hidden="1">'[7]2-US_PRICE'!#REF!</definedName>
    <definedName name="_Fill2" localSheetId="7" hidden="1">'[7]2-US_PRICE'!#REF!</definedName>
    <definedName name="_Fill2" hidden="1">'[7]2-US_PRICE'!#REF!</definedName>
    <definedName name="_xlnm._FilterDatabase" localSheetId="4" hidden="1">A216810396964DCDB399904ED81BA8E!$A$1:$C$25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hidden="1">#REF!</definedName>
    <definedName name="_Key2" localSheetId="10" hidden="1">#REF!</definedName>
    <definedName name="_Key2" localSheetId="8" hidden="1">#REF!</definedName>
    <definedName name="_Key2" localSheetId="1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localSheetId="10" hidden="1">#REF!</definedName>
    <definedName name="_Regression_Out" localSheetId="3" hidden="1">#REF!</definedName>
    <definedName name="_Regression_Out" localSheetId="8" hidden="1">#REF!</definedName>
    <definedName name="_Regression_Out" localSheetId="11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localSheetId="8" hidden="1">#REF!</definedName>
    <definedName name="_Regression_Y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localSheetId="7" hidden="1">#REF!</definedName>
    <definedName name="_Sort" hidden="1">#REF!</definedName>
    <definedName name="_Sort2" localSheetId="8" hidden="1">#REF!</definedName>
    <definedName name="_Sort2" hidden="1">#REF!</definedName>
    <definedName name="_Table1_In1" localSheetId="10" hidden="1">#REF!</definedName>
    <definedName name="_Table1_In1" localSheetId="8" hidden="1">#REF!</definedName>
    <definedName name="_Table1_In1" hidden="1">#REF!</definedName>
    <definedName name="_Table1_Out" localSheetId="8" hidden="1">#REF!</definedName>
    <definedName name="_Table1_Out" hidden="1">#REF!</definedName>
    <definedName name="_Table2_In1" localSheetId="8" hidden="1">#REF!</definedName>
    <definedName name="_Table2_In1" hidden="1">#REF!</definedName>
    <definedName name="_Table2_In2" localSheetId="8" hidden="1">#REF!</definedName>
    <definedName name="_Table2_In2" hidden="1">#REF!</definedName>
    <definedName name="_Table2_Out" localSheetId="8" hidden="1">#REF!</definedName>
    <definedName name="_Table2_Out" hidden="1">#REF!</definedName>
    <definedName name="aa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localSheetId="10" hidden="1">#REF!</definedName>
    <definedName name="aaa" localSheetId="8" hidden="1">#REF!</definedName>
    <definedName name="aaa" localSheetId="11" hidden="1">#REF!</definedName>
    <definedName name="aaa" hidden="1">#REF!</definedName>
    <definedName name="AAA_DOCTOPS" hidden="1">"AAA_SET"</definedName>
    <definedName name="AAA_duser" hidden="1">"OFF"</definedName>
    <definedName name="aaaaaaaaaaaa" localSheetId="10" hidden="1">[4]P!#REF!</definedName>
    <definedName name="aaaaaaaaaaaa" localSheetId="8" hidden="1">[4]P!#REF!</definedName>
    <definedName name="aaaaaaaaaaaa" localSheetId="11" hidden="1">[4]P!#REF!</definedName>
    <definedName name="aaaaaaaaaaaa" localSheetId="7" hidden="1">[4]P!#REF!</definedName>
    <definedName name="aaaaaaaaaaaa" hidden="1">[4]P!#REF!</definedName>
    <definedName name="aaaaaaaaaaaaa" localSheetId="10" hidden="1">#REF!</definedName>
    <definedName name="aaaaaaaaaaaaa" localSheetId="8" hidden="1">#REF!</definedName>
    <definedName name="aaaaaaaaaaaaa" localSheetId="11" hidden="1">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localSheetId="10" hidden="1">{#N/A,#N/A,FALSE,"FY97P1";#N/A,#N/A,FALSE,"FY97Z312";#N/A,#N/A,FALSE,"FY97LRBC";#N/A,#N/A,FALSE,"FY97O";#N/A,#N/A,FALSE,"FY97DAM"}</definedName>
    <definedName name="abd" localSheetId="3" hidden="1">{#N/A,#N/A,FALSE,"FY97P1";#N/A,#N/A,FALSE,"FY97Z312";#N/A,#N/A,FALSE,"FY97LRBC";#N/A,#N/A,FALSE,"FY97O";#N/A,#N/A,FALSE,"FY97DAM"}</definedName>
    <definedName name="abd" localSheetId="8" hidden="1">{#N/A,#N/A,FALSE,"FY97P1";#N/A,#N/A,FALSE,"FY97Z312";#N/A,#N/A,FALSE,"FY97LRBC";#N/A,#N/A,FALSE,"FY97O";#N/A,#N/A,FALSE,"FY97DAM"}</definedName>
    <definedName name="abd" localSheetId="11" hidden="1">{#N/A,#N/A,FALSE,"FY97P1";#N/A,#N/A,FALSE,"FY97Z312";#N/A,#N/A,FALSE,"FY97LRBC";#N/A,#N/A,FALSE,"FY97O";#N/A,#N/A,FALSE,"FY97DAM"}</definedName>
    <definedName name="abd" localSheetId="7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ccessDatabase">"J:\data\PS\pso\IO&amp;RM\jdb\r2d2\MCMResults.mdb"</definedName>
    <definedName name="aedfadf" localSheetId="2" hidden="1">TextRefCopy1</definedName>
    <definedName name="aedfadf" localSheetId="10" hidden="1">TextRefCopy1</definedName>
    <definedName name="aedfadf" localSheetId="3" hidden="1">TextRefCopy1</definedName>
    <definedName name="aedfadf" localSheetId="8" hidden="1">TextRefCopy1</definedName>
    <definedName name="aedfadf" localSheetId="11" hidden="1">TextRefCopy1</definedName>
    <definedName name="aedfadf" localSheetId="7" hidden="1">TextRefCopy1</definedName>
    <definedName name="aedfadf" hidden="1">TextRefCopy1</definedName>
    <definedName name="as" localSheetId="10" hidden="1">#REF!</definedName>
    <definedName name="as" localSheetId="3" hidden="1">#REF!</definedName>
    <definedName name="as" localSheetId="8" hidden="1">#REF!</definedName>
    <definedName name="as" localSheetId="11" hidden="1">#REF!</definedName>
    <definedName name="as" hidden="1">#REF!</definedName>
    <definedName name="AS2TickmarkLS" localSheetId="10" hidden="1">#REF!</definedName>
    <definedName name="AS2TickmarkLS" localSheetId="8" hidden="1">#REF!</definedName>
    <definedName name="AS2TickmarkLS" hidden="1">#REF!</definedName>
    <definedName name="asASas" localSheetId="10" hidden="1">#REF!</definedName>
    <definedName name="asASas" localSheetId="8" hidden="1">#REF!</definedName>
    <definedName name="asASas" localSheetId="11" hidden="1">#REF!</definedName>
    <definedName name="asASas" hidden="1">#REF!</definedName>
    <definedName name="asd" localSheetId="10" hidden="1">'[8]PD Fixed Proforma'!#REF!</definedName>
    <definedName name="asd" localSheetId="3" hidden="1">'[8]PD Fixed Proforma'!#REF!</definedName>
    <definedName name="asd" localSheetId="8" hidden="1">'[8]PD Fixed Proforma'!#REF!</definedName>
    <definedName name="asd" localSheetId="11" hidden="1">'[8]PD Fixed Proforma'!#REF!</definedName>
    <definedName name="asd" localSheetId="7" hidden="1">'[8]PD Fixed Proforma'!#REF!</definedName>
    <definedName name="asd" hidden="1">'[8]PD Fixed Proforma'!#REF!</definedName>
    <definedName name="asda" localSheetId="10" hidden="1">{#N/A,#N/A,FALSE,"FY97P1";#N/A,#N/A,FALSE,"FY97Z312";#N/A,#N/A,FALSE,"FY97LRBC";#N/A,#N/A,FALSE,"FY97O";#N/A,#N/A,FALSE,"FY97DAM"}</definedName>
    <definedName name="asda" localSheetId="3" hidden="1">{#N/A,#N/A,FALSE,"FY97P1";#N/A,#N/A,FALSE,"FY97Z312";#N/A,#N/A,FALSE,"FY97LRBC";#N/A,#N/A,FALSE,"FY97O";#N/A,#N/A,FALSE,"FY97DAM"}</definedName>
    <definedName name="asda" localSheetId="8" hidden="1">{#N/A,#N/A,FALSE,"FY97P1";#N/A,#N/A,FALSE,"FY97Z312";#N/A,#N/A,FALSE,"FY97LRBC";#N/A,#N/A,FALSE,"FY97O";#N/A,#N/A,FALSE,"FY97DAM"}</definedName>
    <definedName name="asda" localSheetId="11" hidden="1">{#N/A,#N/A,FALSE,"FY97P1";#N/A,#N/A,FALSE,"FY97Z312";#N/A,#N/A,FALSE,"FY97LRBC";#N/A,#N/A,FALSE,"FY97O";#N/A,#N/A,FALSE,"FY97DAM"}</definedName>
    <definedName name="asda" localSheetId="7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10" hidden="1">{#N/A,#N/A,FALSE,"FY97P1";#N/A,#N/A,FALSE,"FY97Z312";#N/A,#N/A,FALSE,"FY97LRBC";#N/A,#N/A,FALSE,"FY97O";#N/A,#N/A,FALSE,"FY97DAM"}</definedName>
    <definedName name="asdasd" localSheetId="3" hidden="1">{#N/A,#N/A,FALSE,"FY97P1";#N/A,#N/A,FALSE,"FY97Z312";#N/A,#N/A,FALSE,"FY97LRBC";#N/A,#N/A,FALSE,"FY97O";#N/A,#N/A,FALSE,"FY97DAM"}</definedName>
    <definedName name="asdasd" localSheetId="8" hidden="1">{#N/A,#N/A,FALSE,"FY97P1";#N/A,#N/A,FALSE,"FY97Z312";#N/A,#N/A,FALSE,"FY97LRBC";#N/A,#N/A,FALSE,"FY97O";#N/A,#N/A,FALSE,"FY97DAM"}</definedName>
    <definedName name="asdasd" localSheetId="11" hidden="1">{#N/A,#N/A,FALSE,"FY97P1";#N/A,#N/A,FALSE,"FY97Z312";#N/A,#N/A,FALSE,"FY97LRBC";#N/A,#N/A,FALSE,"FY97O";#N/A,#N/A,FALSE,"FY97DAM"}</definedName>
    <definedName name="asdasd" localSheetId="7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10" hidden="1">{#N/A,#N/A,FALSE,"FY97P1";#N/A,#N/A,FALSE,"FY97Z312";#N/A,#N/A,FALSE,"FY97LRBC";#N/A,#N/A,FALSE,"FY97O";#N/A,#N/A,FALSE,"FY97DAM"}</definedName>
    <definedName name="asdasdasdas" localSheetId="3" hidden="1">{#N/A,#N/A,FALSE,"FY97P1";#N/A,#N/A,FALSE,"FY97Z312";#N/A,#N/A,FALSE,"FY97LRBC";#N/A,#N/A,FALSE,"FY97O";#N/A,#N/A,FALSE,"FY97DAM"}</definedName>
    <definedName name="asdasdasdas" localSheetId="8" hidden="1">{#N/A,#N/A,FALSE,"FY97P1";#N/A,#N/A,FALSE,"FY97Z312";#N/A,#N/A,FALSE,"FY97LRBC";#N/A,#N/A,FALSE,"FY97O";#N/A,#N/A,FALSE,"FY97DAM"}</definedName>
    <definedName name="asdasdasdas" localSheetId="11" hidden="1">{#N/A,#N/A,FALSE,"FY97P1";#N/A,#N/A,FALSE,"FY97Z312";#N/A,#N/A,FALSE,"FY97LRBC";#N/A,#N/A,FALSE,"FY97O";#N/A,#N/A,FALSE,"FY97DAM"}</definedName>
    <definedName name="asdasdasdas" localSheetId="7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10" hidden="1">{#N/A,#N/A,FALSE,"FY97P1";#N/A,#N/A,FALSE,"FY97Z312";#N/A,#N/A,FALSE,"FY97LRBC";#N/A,#N/A,FALSE,"FY97O";#N/A,#N/A,FALSE,"FY97DAM"}</definedName>
    <definedName name="asdasds" localSheetId="3" hidden="1">{#N/A,#N/A,FALSE,"FY97P1";#N/A,#N/A,FALSE,"FY97Z312";#N/A,#N/A,FALSE,"FY97LRBC";#N/A,#N/A,FALSE,"FY97O";#N/A,#N/A,FALSE,"FY97DAM"}</definedName>
    <definedName name="asdasds" localSheetId="8" hidden="1">{#N/A,#N/A,FALSE,"FY97P1";#N/A,#N/A,FALSE,"FY97Z312";#N/A,#N/A,FALSE,"FY97LRBC";#N/A,#N/A,FALSE,"FY97O";#N/A,#N/A,FALSE,"FY97DAM"}</definedName>
    <definedName name="asdasds" localSheetId="11" hidden="1">{#N/A,#N/A,FALSE,"FY97P1";#N/A,#N/A,FALSE,"FY97Z312";#N/A,#N/A,FALSE,"FY97LRBC";#N/A,#N/A,FALSE,"FY97O";#N/A,#N/A,FALSE,"FY97DAM"}</definedName>
    <definedName name="asdasds" localSheetId="7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10" hidden="1">{#N/A,#N/A,FALSE,"FY97P1";#N/A,#N/A,FALSE,"FY97Z312";#N/A,#N/A,FALSE,"FY97LRBC";#N/A,#N/A,FALSE,"FY97O";#N/A,#N/A,FALSE,"FY97DAM"}</definedName>
    <definedName name="asdasfsdfa" localSheetId="3" hidden="1">{#N/A,#N/A,FALSE,"FY97P1";#N/A,#N/A,FALSE,"FY97Z312";#N/A,#N/A,FALSE,"FY97LRBC";#N/A,#N/A,FALSE,"FY97O";#N/A,#N/A,FALSE,"FY97DAM"}</definedName>
    <definedName name="asdasfsdfa" localSheetId="8" hidden="1">{#N/A,#N/A,FALSE,"FY97P1";#N/A,#N/A,FALSE,"FY97Z312";#N/A,#N/A,FALSE,"FY97LRBC";#N/A,#N/A,FALSE,"FY97O";#N/A,#N/A,FALSE,"FY97DAM"}</definedName>
    <definedName name="asdasfsdfa" localSheetId="11" hidden="1">{#N/A,#N/A,FALSE,"FY97P1";#N/A,#N/A,FALSE,"FY97Z312";#N/A,#N/A,FALSE,"FY97LRBC";#N/A,#N/A,FALSE,"FY97O";#N/A,#N/A,FALSE,"FY97DAM"}</definedName>
    <definedName name="asdasfsdfa" localSheetId="7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localSheetId="10" hidden="1">#REF!</definedName>
    <definedName name="awer" localSheetId="3" hidden="1">#REF!</definedName>
    <definedName name="awer" localSheetId="8" hidden="1">#REF!</definedName>
    <definedName name="awer" localSheetId="11" hidden="1">#REF!</definedName>
    <definedName name="awer" hidden="1">#REF!</definedName>
    <definedName name="bb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localSheetId="10" hidden="1">#REF!</definedName>
    <definedName name="bb_M0FFQkVFMkZCRDk1NEY0OT" localSheetId="8" hidden="1">#REF!</definedName>
    <definedName name="bb_M0FFQkVFMkZCRDk1NEY0OT" localSheetId="11" hidden="1">#REF!</definedName>
    <definedName name="bb_M0FFQkVFMkZCRDk1NEY0OT" hidden="1">#REF!</definedName>
    <definedName name="bb_M0I1RkJFNDJBNUJENEU4N0" localSheetId="8" hidden="1">#REF!</definedName>
    <definedName name="bb_M0I1RkJFNDJBNUJENEU4N0" hidden="1">#REF!</definedName>
    <definedName name="bb_M0I3RUFGRjQ3OEY0NEE4RT" localSheetId="8" hidden="1">#REF!</definedName>
    <definedName name="bb_M0I3RUFGRjQ3OEY0NEE4RT" hidden="1">#REF!</definedName>
    <definedName name="bb_M0I4QjQwNkY4NUNFNDRGNz" localSheetId="8" hidden="1">#REF!</definedName>
    <definedName name="bb_M0I4QjQwNkY4NUNFNDRGNz" hidden="1">#REF!</definedName>
    <definedName name="bb_M0IyMkQ3MUJCQjYyNEU1OT" localSheetId="8" hidden="1">#REF!</definedName>
    <definedName name="bb_M0IyMkQ3MUJCQjYyNEU1OT" hidden="1">#REF!</definedName>
    <definedName name="bb_M0JCNUREQTJCNTc4NDlGMz" localSheetId="8" hidden="1">#REF!</definedName>
    <definedName name="bb_M0JCNUREQTJCNTc4NDlGMz" hidden="1">#REF!</definedName>
    <definedName name="bb_M0JDN0E0ODg5QzQ2NDQxRE" localSheetId="8" hidden="1">#REF!</definedName>
    <definedName name="bb_M0JDN0E0ODg5QzQ2NDQxRE" hidden="1">#REF!</definedName>
    <definedName name="bb_M0Q1Q0M4MjA5NEJGNDY0Nk" localSheetId="8" hidden="1">#REF!</definedName>
    <definedName name="bb_M0Q1Q0M4MjA5NEJGNDY0Nk" hidden="1">#REF!</definedName>
    <definedName name="bb_M0Q5RTNENEU0QTk3NDhFMj" localSheetId="8" hidden="1">#REF!</definedName>
    <definedName name="bb_M0Q5RTNENEU0QTk3NDhFMj" hidden="1">#REF!</definedName>
    <definedName name="bb_M0U0NTY0NEY4QjU4NDUwMj" localSheetId="8" hidden="1">#REF!</definedName>
    <definedName name="bb_M0U0NTY0NEY4QjU4NDUwMj" hidden="1">#REF!</definedName>
    <definedName name="bb_M0VCODYwMkI1NjVDNDgyQz" localSheetId="8" hidden="1">#REF!</definedName>
    <definedName name="bb_M0VCODYwMkI1NjVDNDgyQz" hidden="1">#REF!</definedName>
    <definedName name="bb_M0VDNTdGQzczQTJBNDU5QU" localSheetId="8" hidden="1">#REF!</definedName>
    <definedName name="bb_M0VDNTdGQzczQTJBNDU5QU" hidden="1">#REF!</definedName>
    <definedName name="bb_M0YwMUZDMDdDMkM1NDczQz" localSheetId="8" hidden="1">#REF!</definedName>
    <definedName name="bb_M0YwMUZDMDdDMkM1NDczQz" hidden="1">#REF!</definedName>
    <definedName name="bb_M0ZCQTgyMjhEODJBNERDRD" localSheetId="8" hidden="1">#REF!</definedName>
    <definedName name="bb_M0ZCQTgyMjhEODJBNERDRD" hidden="1">#REF!</definedName>
    <definedName name="bb_M0ZGQzUwQUYzOTFCNEY2Rj" localSheetId="8" hidden="1">#REF!</definedName>
    <definedName name="bb_M0ZGQzUwQUYzOTFCNEY2Rj" hidden="1">#REF!</definedName>
    <definedName name="bb_MDA2QUVGMzg5M0NDNDNFRU" localSheetId="8" hidden="1">#REF!</definedName>
    <definedName name="bb_MDA2QUVGMzg5M0NDNDNFRU" hidden="1">#REF!</definedName>
    <definedName name="bb_MDAyNEFFMTA5MjFFNEMwQU" localSheetId="8" hidden="1">#REF!</definedName>
    <definedName name="bb_MDAyNEFFMTA5MjFFNEMwQU" hidden="1">#REF!</definedName>
    <definedName name="bb_MDBGMzFERTdCNEJCNEVGQU" localSheetId="8" hidden="1">#REF!</definedName>
    <definedName name="bb_MDBGMzFERTdCNEJCNEVGQU" hidden="1">#REF!</definedName>
    <definedName name="bb_MDc0MTBCOEJGRThDNERDME" localSheetId="8" hidden="1">#REF!</definedName>
    <definedName name="bb_MDc0MTBCOEJGRThDNERDME" hidden="1">#REF!</definedName>
    <definedName name="bb_MDdCRkZENDg3NTkxNEVFRT" localSheetId="8" hidden="1">#REF!</definedName>
    <definedName name="bb_MDdCRkZENDg3NTkxNEVFRT" hidden="1">#REF!</definedName>
    <definedName name="bb_MDE2NzJDQzIxMDBENDIwOE" localSheetId="8" hidden="1">#REF!</definedName>
    <definedName name="bb_MDE2NzJDQzIxMDBENDIwOE" hidden="1">#REF!</definedName>
    <definedName name="bb_MDFBMEM2MTkzM0I3NDVGQU" localSheetId="8" hidden="1">#REF!</definedName>
    <definedName name="bb_MDFBMEM2MTkzM0I3NDVGQU" hidden="1">#REF!</definedName>
    <definedName name="bb_MDg4MjQ0ODIwNzg4NEFDNk" hidden="1">[9]Various!#REF!</definedName>
    <definedName name="bb_MDgxMjNDRDIyN0M4NDdBND" localSheetId="10" hidden="1">#REF!</definedName>
    <definedName name="bb_MDgxMjNDRDIyN0M4NDdBND" localSheetId="8" hidden="1">#REF!</definedName>
    <definedName name="bb_MDgxMjNDRDIyN0M4NDdBND" localSheetId="11" hidden="1">#REF!</definedName>
    <definedName name="bb_MDgxMjNDRDIyN0M4NDdBND" hidden="1">#REF!</definedName>
    <definedName name="bb_MDhBQTkyOTNBMDQ5NEY4N0" localSheetId="10" hidden="1">#REF!</definedName>
    <definedName name="bb_MDhBQTkyOTNBMDQ5NEY4N0" localSheetId="8" hidden="1">#REF!</definedName>
    <definedName name="bb_MDhBQTkyOTNBMDQ5NEY4N0" localSheetId="11" hidden="1">#REF!</definedName>
    <definedName name="bb_MDhBQTkyOTNBMDQ5NEY4N0" hidden="1">#REF!</definedName>
    <definedName name="bb_MDhCOTVCREVDMDgyNEUwRD" localSheetId="10" hidden="1">'[10]Reserve Analysis'!#REF!</definedName>
    <definedName name="bb_MDhCOTVCREVDMDgyNEUwRD" localSheetId="11" hidden="1">'[10]Reserve Analysis'!#REF!</definedName>
    <definedName name="bb_MDhCOTVCREVDMDgyNEUwRD" hidden="1">'[10]Reserve Analysis'!#REF!</definedName>
    <definedName name="bb_MDJERjU3RTY0QjNCNDIwNT" localSheetId="10" hidden="1">#REF!</definedName>
    <definedName name="bb_MDJERjU3RTY0QjNCNDIwNT" localSheetId="8" hidden="1">#REF!</definedName>
    <definedName name="bb_MDJERjU3RTY0QjNCNDIwNT" localSheetId="11" hidden="1">#REF!</definedName>
    <definedName name="bb_MDJERjU3RTY0QjNCNDIwNT" hidden="1">#REF!</definedName>
    <definedName name="bb_MDJFNUE2Mzk5QURGNDU4OT" localSheetId="10" hidden="1">#REF!</definedName>
    <definedName name="bb_MDJFNUE2Mzk5QURGNDU4OT" localSheetId="8" hidden="1">#REF!</definedName>
    <definedName name="bb_MDJFNUE2Mzk5QURGNDU4OT" localSheetId="11" hidden="1">#REF!</definedName>
    <definedName name="bb_MDJFNUE2Mzk5QURGNDU4OT" hidden="1">#REF!</definedName>
    <definedName name="bb_MDk0NTQxOTJENTc1NDVCOU" localSheetId="8" hidden="1">#REF!</definedName>
    <definedName name="bb_MDk0NTQxOTJENTc1NDVCOU" hidden="1">#REF!</definedName>
    <definedName name="bb_MDk1M0Y3RTQyNTJDNDU4NE" localSheetId="8" hidden="1">#REF!</definedName>
    <definedName name="bb_MDk1M0Y3RTQyNTJDNDU4NE" hidden="1">#REF!</definedName>
    <definedName name="bb_MDk5N0Y2NDNBODAyNDBBMT" localSheetId="8" hidden="1">#REF!</definedName>
    <definedName name="bb_MDk5N0Y2NDNBODAyNDBBMT" hidden="1">#REF!</definedName>
    <definedName name="bb_MDkxNkZDNDNBMDc4NEEwOU" localSheetId="8" hidden="1">#REF!</definedName>
    <definedName name="bb_MDkxNkZDNDNBMDc4NEEwOU" hidden="1">#REF!</definedName>
    <definedName name="bb_MDlEREE3MEY4QTNFNDE3NT" localSheetId="8" hidden="1">#REF!</definedName>
    <definedName name="bb_MDlEREE3MEY4QTNFNDE3NT" hidden="1">#REF!</definedName>
    <definedName name="bb_MDMxN0JGMTMxRTZFNDhFRU" localSheetId="8" hidden="1">#REF!</definedName>
    <definedName name="bb_MDMxN0JGMTMxRTZFNDhFRU" hidden="1">#REF!</definedName>
    <definedName name="bb_MDNCMjE2MDY4QzcxNEI0Rk" localSheetId="8" hidden="1">#REF!</definedName>
    <definedName name="bb_MDNCMjE2MDY4QzcxNEI0Rk" hidden="1">#REF!</definedName>
    <definedName name="bb_MDQyQ0Q2RkU0Mjk3NEIxME" localSheetId="8" hidden="1">#REF!</definedName>
    <definedName name="bb_MDQyQ0Q2RkU0Mjk3NEIxME" hidden="1">#REF!</definedName>
    <definedName name="bb_MDRBN0Q2Q0E1NTJENDc0Mz" localSheetId="8" hidden="1">#REF!</definedName>
    <definedName name="bb_MDRBN0Q2Q0E1NTJENDc0Mz" hidden="1">#REF!</definedName>
    <definedName name="bb_MDRCODI5MkYzMjJDNEIyQj" localSheetId="8" hidden="1">#REF!</definedName>
    <definedName name="bb_MDRCODI5MkYzMjJDNEIyQj" hidden="1">#REF!</definedName>
    <definedName name="bb_MDU2MUM1Q0NGNzNCNDYxMT" hidden="1">'[11]Cap Stx'!#REF!</definedName>
    <definedName name="bb_MDUzOTlCRjE5ODc4NEEwND" localSheetId="10" hidden="1">#REF!</definedName>
    <definedName name="bb_MDUzOTlCRjE5ODc4NEEwND" localSheetId="8" hidden="1">#REF!</definedName>
    <definedName name="bb_MDUzOTlCRjE5ODc4NEEwND" localSheetId="11" hidden="1">#REF!</definedName>
    <definedName name="bb_MDUzOTlCRjE5ODc4NEEwND" hidden="1">#REF!</definedName>
    <definedName name="bb_MDY1Q0FFOTMwQjU4NEMzQU" localSheetId="10" hidden="1">#REF!</definedName>
    <definedName name="bb_MDY1Q0FFOTMwQjU4NEMzQU" localSheetId="8" hidden="1">#REF!</definedName>
    <definedName name="bb_MDY1Q0FFOTMwQjU4NEMzQU" localSheetId="11" hidden="1">#REF!</definedName>
    <definedName name="bb_MDY1Q0FFOTMwQjU4NEMzQU" hidden="1">#REF!</definedName>
    <definedName name="bb_MDY4MTgyOEJGMDNBNDBGOE" localSheetId="8" hidden="1">#REF!</definedName>
    <definedName name="bb_MDY4MTgyOEJGMDNBNDBGOE" hidden="1">#REF!</definedName>
    <definedName name="bb_MEE3ODNFRkM4MURENEJFNj" localSheetId="8" hidden="1">#REF!</definedName>
    <definedName name="bb_MEE3ODNFRkM4MURENEJFNj" hidden="1">#REF!</definedName>
    <definedName name="bb_MEI4NDUwNzVEMUI4NDdDOT" localSheetId="8" hidden="1">#REF!</definedName>
    <definedName name="bb_MEI4NDUwNzVEMUI4NDdDOT" hidden="1">#REF!</definedName>
    <definedName name="bb_MEI4NEYwNzY0NjgxNEM3RE" localSheetId="8" hidden="1">#REF!</definedName>
    <definedName name="bb_MEI4NEYwNzY0NjgxNEM3RE" hidden="1">#REF!</definedName>
    <definedName name="bb_MEJCRENBRDFBMTEzNEU3NU" localSheetId="8" hidden="1">#REF!</definedName>
    <definedName name="bb_MEJCRENBRDFBMTEzNEU3NU" hidden="1">#REF!</definedName>
    <definedName name="bb_MEM4NjdFOUY0RjNFNEFDRj" localSheetId="8" hidden="1">#REF!</definedName>
    <definedName name="bb_MEM4NjdFOUY0RjNFNEFDRj" hidden="1">#REF!</definedName>
    <definedName name="bb_MENCQzBEM0E2NkEwNENGNk" localSheetId="8" hidden="1">#REF!</definedName>
    <definedName name="bb_MENCQzBEM0E2NkEwNENGNk" hidden="1">#REF!</definedName>
    <definedName name="bb_MENDRjAwQ0MyMTQ4NDgyRk" localSheetId="8" hidden="1">#REF!</definedName>
    <definedName name="bb_MENDRjAwQ0MyMTQ4NDgyRk" hidden="1">#REF!</definedName>
    <definedName name="bb_MEQxMDE2QUI2MjZGNEI1Mz" localSheetId="8" hidden="1">#REF!</definedName>
    <definedName name="bb_MEQxMDE2QUI2MjZGNEI1Mz" hidden="1">#REF!</definedName>
    <definedName name="bb_MERDQkIxM0JDQTUxNDY4QU" localSheetId="8" hidden="1">#REF!</definedName>
    <definedName name="bb_MERDQkIxM0JDQTUxNDY4QU" hidden="1">#REF!</definedName>
    <definedName name="bb_MERDQkVGMkUwODhFNEE3Mz" localSheetId="8" hidden="1">#REF!</definedName>
    <definedName name="bb_MERDQkVGMkUwODhFNEE3Mz" hidden="1">#REF!</definedName>
    <definedName name="bb_MERERTkzNUEzN0M0NDVCRk" localSheetId="8" hidden="1">#REF!</definedName>
    <definedName name="bb_MERERTkzNUEzN0M0NDVCRk" hidden="1">#REF!</definedName>
    <definedName name="bb_MEU3NTEwNkNFRTU4NDY3QU" localSheetId="8" hidden="1">#REF!</definedName>
    <definedName name="bb_MEU3NTEwNkNFRTU4NDY3QU" hidden="1">#REF!</definedName>
    <definedName name="bb_MEUzRUI3REVBRURCNDRBQk" localSheetId="8" hidden="1">#REF!</definedName>
    <definedName name="bb_MEUzRUI3REVBRURCNDRBQk" hidden="1">#REF!</definedName>
    <definedName name="bb_MEY3MzMyRDQwRkVGNDlGMD" localSheetId="8" hidden="1">#REF!</definedName>
    <definedName name="bb_MEY3MzMyRDQwRkVGNDlGMD" hidden="1">#REF!</definedName>
    <definedName name="bb_MEYyM0VGNDBGMEZENDUzND" localSheetId="8" hidden="1">#REF!</definedName>
    <definedName name="bb_MEYyM0VGNDBGMEZENDUzND" hidden="1">#REF!</definedName>
    <definedName name="bb_MjAyMTg5Q0U1QzJCNEE4ND" localSheetId="8" hidden="1">#REF!</definedName>
    <definedName name="bb_MjAyMTg5Q0U1QzJCNEE4ND" hidden="1">#REF!</definedName>
    <definedName name="bb_MjBFMTFEOUNFRUFENDdGMz" localSheetId="8" hidden="1">#REF!</definedName>
    <definedName name="bb_MjBFMTFEOUNFRUFENDdGMz" hidden="1">#REF!</definedName>
    <definedName name="bb_Mjc5NjlCNzMzMDM3NEY1RT" localSheetId="8" hidden="1">#REF!</definedName>
    <definedName name="bb_Mjc5NjlCNzMzMDM3NEY1RT" hidden="1">#REF!</definedName>
    <definedName name="bb_MjdGREFDRTdGNzgwNDI0Rj" localSheetId="8" hidden="1">#REF!</definedName>
    <definedName name="bb_MjdGREFDRTdGNzgwNDI0Rj" hidden="1">#REF!</definedName>
    <definedName name="bb_MjE2NTE4RTY0MTVCNDVEOT" localSheetId="8" hidden="1">#REF!</definedName>
    <definedName name="bb_MjE2NTE4RTY0MTVCNDVEOT" hidden="1">#REF!</definedName>
    <definedName name="bb_MjEwQkIyRkI4QzRBNDEzRj" localSheetId="8" hidden="1">#REF!</definedName>
    <definedName name="bb_MjEwQkIyRkI4QzRBNDEzRj" hidden="1">#REF!</definedName>
    <definedName name="bb_Mjg1ODc0NjU1Q0JGNDhEMT" localSheetId="8" hidden="1">#REF!</definedName>
    <definedName name="bb_Mjg1ODc0NjU1Q0JGNDhEMT" hidden="1">#REF!</definedName>
    <definedName name="bb_Mjg4RUVFOTQ1NkE1NEIzQ0" localSheetId="8" hidden="1">#REF!</definedName>
    <definedName name="bb_Mjg4RUVFOTQ1NkE1NEIzQ0" hidden="1">#REF!</definedName>
    <definedName name="bb_MjhBOTlDNTAyNzIwNENEOD" localSheetId="8" hidden="1">#REF!</definedName>
    <definedName name="bb_MjhBOTlDNTAyNzIwNENEOD" hidden="1">#REF!</definedName>
    <definedName name="bb_MjI4RDQzNUEyQjcyNDlDNk" localSheetId="8" hidden="1">#REF!</definedName>
    <definedName name="bb_MjI4RDQzNUEyQjcyNDlDNk" hidden="1">#REF!</definedName>
    <definedName name="bb_MjIyOEE1NzY0MDk0NDA3OE" localSheetId="8" hidden="1">#REF!</definedName>
    <definedName name="bb_MjIyOEE1NzY0MDk0NDA3OE" hidden="1">#REF!</definedName>
    <definedName name="bb_MjIyQkJBQjI4MDY1NEJCND" localSheetId="8" hidden="1">#REF!</definedName>
    <definedName name="bb_MjIyQkJBQjI4MDY1NEJCND" hidden="1">#REF!</definedName>
    <definedName name="bb_MjIzMDIwMDRGNUEzNDIwMk" localSheetId="8" hidden="1">#REF!</definedName>
    <definedName name="bb_MjIzMDIwMDRGNUEzNDIwMk" hidden="1">#REF!</definedName>
    <definedName name="bb_MjMwQzk2NkQ3RjQxNDEyMD" localSheetId="8" hidden="1">#REF!</definedName>
    <definedName name="bb_MjMwQzk2NkQ3RjQxNDEyMD" hidden="1">#REF!</definedName>
    <definedName name="bb_MjQ0QkU5MkNDNkU2NDhBMz" localSheetId="8" hidden="1">#REF!</definedName>
    <definedName name="bb_MjQ0QkU5MkNDNkU2NDhBMz" hidden="1">#REF!</definedName>
    <definedName name="bb_MjRCQTQ4NUEzNUQ2NDBDQ0" localSheetId="8" hidden="1">#REF!</definedName>
    <definedName name="bb_MjRCQTQ4NUEzNUQ2NDBDQ0" hidden="1">#REF!</definedName>
    <definedName name="bb_MjREQUY1QTA4NTFENDkxNz" localSheetId="8" hidden="1">#REF!</definedName>
    <definedName name="bb_MjREQUY1QTA4NTFENDkxNz" hidden="1">#REF!</definedName>
    <definedName name="bb_MjU2MEREMzA5RDAwNDY5Q0" localSheetId="8" hidden="1">#REF!</definedName>
    <definedName name="bb_MjU2MEREMzA5RDAwNDY5Q0" hidden="1">#REF!</definedName>
    <definedName name="bb_MjU5ODk2OTY1RTUxNDdGQj" localSheetId="8" hidden="1">#REF!</definedName>
    <definedName name="bb_MjU5ODk2OTY1RTUxNDdGQj" hidden="1">#REF!</definedName>
    <definedName name="bb_MjUxQUFBRTkwREZGNDRFQT" localSheetId="8" hidden="1">#REF!</definedName>
    <definedName name="bb_MjUxQUFBRTkwREZGNDRFQT" hidden="1">#REF!</definedName>
    <definedName name="bb_MjVBN0M0MjYzOTNFNDY5Mk" hidden="1">'[12]Transferred PRIFA Funds'!#REF!</definedName>
    <definedName name="bb_MjVCNTdBOUQ2OUI2NEFEOU" localSheetId="10" hidden="1">#REF!</definedName>
    <definedName name="bb_MjVCNTdBOUQ2OUI2NEFEOU" localSheetId="8" hidden="1">#REF!</definedName>
    <definedName name="bb_MjVCNTdBOUQ2OUI2NEFEOU" localSheetId="11" hidden="1">#REF!</definedName>
    <definedName name="bb_MjVCNTdBOUQ2OUI2NEFEOU" hidden="1">#REF!</definedName>
    <definedName name="bb_MjVEQ0MxNUVFM0Y3NDA0RU" localSheetId="8" hidden="1">#REF!</definedName>
    <definedName name="bb_MjVEQ0MxNUVFM0Y3NDA0RU" hidden="1">#REF!</definedName>
    <definedName name="bb_MjY0OEQ2QjJDRUM5NDU0RE" localSheetId="8" hidden="1">#REF!</definedName>
    <definedName name="bb_MjY0OEQ2QjJDRUM5NDU0RE" hidden="1">#REF!</definedName>
    <definedName name="bb_MjZENEJCMzkxQTQzNDVGOT" localSheetId="8" hidden="1">#REF!</definedName>
    <definedName name="bb_MjZENEJCMzkxQTQzNDVGOT" hidden="1">#REF!</definedName>
    <definedName name="bb_MkEwNjNDNzA3MjRBNDI1QT" localSheetId="8" hidden="1">#REF!</definedName>
    <definedName name="bb_MkEwNjNDNzA3MjRBNDI1QT" hidden="1">#REF!</definedName>
    <definedName name="bb_MkEwNkJDNDA1RDczNEIxMj" localSheetId="8" hidden="1">#REF!</definedName>
    <definedName name="bb_MkEwNkJDNDA1RDczNEIxMj" hidden="1">#REF!</definedName>
    <definedName name="bb_MkExMkQ5NTk2MEY5NEVCOD" localSheetId="8" hidden="1">#REF!</definedName>
    <definedName name="bb_MkExMkQ5NTk2MEY5NEVCOD" hidden="1">#REF!</definedName>
    <definedName name="bb_MkFBMjdDNTFFQUMyNDIzRU" localSheetId="8" hidden="1">#REF!</definedName>
    <definedName name="bb_MkFBMjdDNTFFQUMyNDIzRU" hidden="1">#REF!</definedName>
    <definedName name="bb_MkI1QjY3RjZBOUZGNDNGQz" localSheetId="8" hidden="1">#REF!</definedName>
    <definedName name="bb_MkI1QjY3RjZBOUZGNDNGQz" hidden="1">#REF!</definedName>
    <definedName name="bb_MkI3NjcwMEJEOUEyNEQ0Q0" localSheetId="8" hidden="1">#REF!</definedName>
    <definedName name="bb_MkI3NjcwMEJEOUEyNEQ0Q0" hidden="1">#REF!</definedName>
    <definedName name="bb_MkNDRDNBQTcxMUM0NDJCMk" localSheetId="8" hidden="1">#REF!</definedName>
    <definedName name="bb_MkNDRDNBQTcxMUM0NDJCMk" hidden="1">#REF!</definedName>
    <definedName name="bb_MkNEQzY3RDc4QjQ1NDVFNj" localSheetId="8" hidden="1">#REF!</definedName>
    <definedName name="bb_MkNEQzY3RDc4QjQ1NDVFNj" hidden="1">#REF!</definedName>
    <definedName name="bb_MkQ1RUNCNERFRTkzNERFNk" localSheetId="8" hidden="1">#REF!</definedName>
    <definedName name="bb_MkQ1RUNCNERFRTkzNERFNk" hidden="1">#REF!</definedName>
    <definedName name="bb_MkQwM0I5RkE0N0M4NDYyRE" localSheetId="8" hidden="1">#REF!</definedName>
    <definedName name="bb_MkQwM0I5RkE0N0M4NDYyRE" hidden="1">#REF!</definedName>
    <definedName name="bb_MkRCQUU1NzVERkI0NEQ1Qj" localSheetId="8" hidden="1">#REF!</definedName>
    <definedName name="bb_MkRCQUU1NzVERkI0NEQ1Qj" hidden="1">#REF!</definedName>
    <definedName name="bb_MkVDQ0NFNjc5MDlGNEFCRU" localSheetId="8" hidden="1">#REF!</definedName>
    <definedName name="bb_MkVDQ0NFNjc5MDlGNEFCRU" hidden="1">#REF!</definedName>
    <definedName name="bb_MkY1QjdBRTEyRDk3NDA2Mj" localSheetId="8" hidden="1">#REF!</definedName>
    <definedName name="bb_MkY1QjdBRTEyRDk3NDA2Mj" hidden="1">#REF!</definedName>
    <definedName name="bb_MkY3N0VDRTFDOTI0NENENT" localSheetId="8" hidden="1">#REF!</definedName>
    <definedName name="bb_MkY3N0VDRTFDOTI0NENENT" hidden="1">#REF!</definedName>
    <definedName name="bb_MkZFQTg4NzJGRDhBNEQ4Qk" localSheetId="8" hidden="1">#REF!</definedName>
    <definedName name="bb_MkZFQTg4NzJGRDhBNEQ4Qk" hidden="1">#REF!</definedName>
    <definedName name="bb_MTBCNDQ3OEE5NDFBNDMxND" localSheetId="8" hidden="1">#REF!</definedName>
    <definedName name="bb_MTBCNDQ3OEE5NDFBNDMxND" hidden="1">#REF!</definedName>
    <definedName name="bb_MTc2QjMwRDNDODUzNEYxMk" localSheetId="8" hidden="1">#REF!</definedName>
    <definedName name="bb_MTc2QjMwRDNDODUzNEYxMk" hidden="1">#REF!</definedName>
    <definedName name="bb_MTdGMTA1NjAxRTlCNEZCRj" localSheetId="8" hidden="1">#REF!</definedName>
    <definedName name="bb_MTdGMTA1NjAxRTlCNEZCRj" hidden="1">#REF!</definedName>
    <definedName name="bb_MTE0NDNGQ0ExQTEwNDQ3QT" localSheetId="8" hidden="1">#REF!</definedName>
    <definedName name="bb_MTE0NDNGQ0ExQTEwNDQ3QT" hidden="1">#REF!</definedName>
    <definedName name="bb_MTEyQTVGQzk0OUQ4NDVDMz" hidden="1">[9]Various!#REF!</definedName>
    <definedName name="bb_MTFBOUY0OEYwQjI5NDQyQ0" hidden="1">'[12]Transferred PRIFA Funds'!#REF!</definedName>
    <definedName name="bb_MTFDQTdGNEJGQzVGNDNBMk" localSheetId="10" hidden="1">#REF!</definedName>
    <definedName name="bb_MTFDQTdGNEJGQzVGNDNBMk" localSheetId="8" hidden="1">#REF!</definedName>
    <definedName name="bb_MTFDQTdGNEJGQzVGNDNBMk" localSheetId="11" hidden="1">#REF!</definedName>
    <definedName name="bb_MTFDQTdGNEJGQzVGNDNBMk" hidden="1">#REF!</definedName>
    <definedName name="bb_MTg4M0M3NUMxRTgxNDNCMj" localSheetId="10" hidden="1">#REF!</definedName>
    <definedName name="bb_MTg4M0M3NUMxRTgxNDNCMj" localSheetId="8" hidden="1">#REF!</definedName>
    <definedName name="bb_MTg4M0M3NUMxRTgxNDNCMj" localSheetId="11" hidden="1">#REF!</definedName>
    <definedName name="bb_MTg4M0M3NUMxRTgxNDNCMj" hidden="1">#REF!</definedName>
    <definedName name="bb_MThCN0Y4RTI1Qjc2NEVENT" localSheetId="10" hidden="1">'[13]Base and Growth PVs'!#REF!</definedName>
    <definedName name="bb_MThCN0Y4RTI1Qjc2NEVENT" localSheetId="11" hidden="1">'[13]Base and Growth PVs'!#REF!</definedName>
    <definedName name="bb_MThCN0Y4RTI1Qjc2NEVENT" hidden="1">'[13]Base and Growth PVs'!#REF!</definedName>
    <definedName name="bb_MTI0NkY2OEM4M0IwNEVBOE" localSheetId="10" hidden="1">#REF!</definedName>
    <definedName name="bb_MTI0NkY2OEM4M0IwNEVBOE" localSheetId="8" hidden="1">#REF!</definedName>
    <definedName name="bb_MTI0NkY2OEM4M0IwNEVBOE" localSheetId="11" hidden="1">#REF!</definedName>
    <definedName name="bb_MTI0NkY2OEM4M0IwNEVBOE" hidden="1">#REF!</definedName>
    <definedName name="bb_MTIyM0I2MTg5RTI5NDExQU" localSheetId="10" hidden="1">#REF!</definedName>
    <definedName name="bb_MTIyM0I2MTg5RTI5NDExQU" localSheetId="8" hidden="1">#REF!</definedName>
    <definedName name="bb_MTIyM0I2MTg5RTI5NDExQU" localSheetId="11" hidden="1">#REF!</definedName>
    <definedName name="bb_MTIyM0I2MTg5RTI5NDExQU" hidden="1">#REF!</definedName>
    <definedName name="bb_MTk0QzI4MzBCQzNFNDI4OU" localSheetId="8" hidden="1">#REF!</definedName>
    <definedName name="bb_MTk0QzI4MzBCQzNFNDI4OU" hidden="1">#REF!</definedName>
    <definedName name="bb_MTlFMTlDM0RDNzIyNEU5Q0" localSheetId="8" hidden="1">#REF!</definedName>
    <definedName name="bb_MTlFMTlDM0RDNzIyNEU5Q0" hidden="1">#REF!</definedName>
    <definedName name="bb_MTM3M0I2M0UzQjY4NDY0RT" localSheetId="8" hidden="1">#REF!</definedName>
    <definedName name="bb_MTM3M0I2M0UzQjY4NDY0RT" hidden="1">#REF!</definedName>
    <definedName name="bb_MTMwMjYyRTEyMDAyNEU0Mj" localSheetId="8" hidden="1">#REF!</definedName>
    <definedName name="bb_MTMwMjYyRTEyMDAyNEU0Mj" hidden="1">#REF!</definedName>
    <definedName name="bb_MTMxMERFRjlBQUU4NEQ2Q0" localSheetId="8" hidden="1">#REF!</definedName>
    <definedName name="bb_MTMxMERFRjlBQUU4NEQ2Q0" hidden="1">#REF!</definedName>
    <definedName name="bb_MTRCNjcyMDNFNDU5NDRGQ0" localSheetId="8" hidden="1">#REF!</definedName>
    <definedName name="bb_MTRCNjcyMDNFNDU5NDRGQ0" hidden="1">#REF!</definedName>
    <definedName name="bb_MTRGRUJERUEwQTBDNDAwND" localSheetId="8" hidden="1">#REF!</definedName>
    <definedName name="bb_MTRGRUJERUEwQTBDNDAwND" hidden="1">#REF!</definedName>
    <definedName name="bb_MTU0OURGMEM0MkMxNDU2MT" localSheetId="8" hidden="1">#REF!</definedName>
    <definedName name="bb_MTU0OURGMEM0MkMxNDU2MT" hidden="1">#REF!</definedName>
    <definedName name="bb_MTU2Q0Q4ODBFMkQwNEY4Rj" localSheetId="8" hidden="1">#REF!</definedName>
    <definedName name="bb_MTU2Q0Q4ODBFMkQwNEY4Rj" hidden="1">#REF!</definedName>
    <definedName name="bb_MTUyOEE5NDdFRTVGNEQxOT" localSheetId="8" hidden="1">#REF!</definedName>
    <definedName name="bb_MTUyOEE5NDdFRTVGNEQxOT" hidden="1">#REF!</definedName>
    <definedName name="bb_MTVBQTgzQkY5RUMxNDBBOT" localSheetId="8" hidden="1">#REF!</definedName>
    <definedName name="bb_MTVBQTgzQkY5RUMxNDBBOT" hidden="1">#REF!</definedName>
    <definedName name="bb_MTVDODdBQ0MwNDk1NEY4RT" localSheetId="8" hidden="1">#REF!</definedName>
    <definedName name="bb_MTVDODdBQ0MwNDk1NEY4RT" hidden="1">#REF!</definedName>
    <definedName name="bb_MTYzOTEzODVEOEIyNENGNj" localSheetId="8" hidden="1">#REF!</definedName>
    <definedName name="bb_MTYzOTEzODVEOEIyNENGNj" hidden="1">#REF!</definedName>
    <definedName name="bb_MUFBMDIzNUVDNjA5NDQ4N0" localSheetId="8" hidden="1">#REF!</definedName>
    <definedName name="bb_MUFBMDIzNUVDNjA5NDQ4N0" hidden="1">#REF!</definedName>
    <definedName name="bb_MUIwMTY5RDAzN0ZDNDc5ME" localSheetId="8" hidden="1">#REF!</definedName>
    <definedName name="bb_MUIwMTY5RDAzN0ZDNDc5ME" hidden="1">#REF!</definedName>
    <definedName name="bb_MUMxNTBCODg2RjNFNERFOU" localSheetId="8" hidden="1">#REF!</definedName>
    <definedName name="bb_MUMxNTBCODg2RjNFNERFOU" hidden="1">#REF!</definedName>
    <definedName name="bb_MUQ3QTMxMjMzRjdFNENBQz" hidden="1">'[12]HTA Drivers'!#REF!</definedName>
    <definedName name="bb_MUQ5NkRDQTA5NjYzNEQzRT" localSheetId="10" hidden="1">#REF!</definedName>
    <definedName name="bb_MUQ5NkRDQTA5NjYzNEQzRT" localSheetId="8" hidden="1">#REF!</definedName>
    <definedName name="bb_MUQ5NkRDQTA5NjYzNEQzRT" localSheetId="11" hidden="1">#REF!</definedName>
    <definedName name="bb_MUQ5NkRDQTA5NjYzNEQzRT" hidden="1">#REF!</definedName>
    <definedName name="bb_MUQwQTUxQkZDREVFNDkzOU" localSheetId="10" hidden="1">#REF!</definedName>
    <definedName name="bb_MUQwQTUxQkZDREVFNDkzOU" localSheetId="8" hidden="1">#REF!</definedName>
    <definedName name="bb_MUQwQTUxQkZDREVFNDkzOU" localSheetId="11" hidden="1">#REF!</definedName>
    <definedName name="bb_MUQwQTUxQkZDREVFNDkzOU" hidden="1">#REF!</definedName>
    <definedName name="bb_MUQxREIzMjcyQzZBNEIxQj" localSheetId="8" hidden="1">#REF!</definedName>
    <definedName name="bb_MUQxREIzMjcyQzZBNEIxQj" hidden="1">#REF!</definedName>
    <definedName name="bb_MUQyNkNGNzE3RjE5NEZFMU" localSheetId="8" hidden="1">#REF!</definedName>
    <definedName name="bb_MUQyNkNGNzE3RjE5NEZFMU" hidden="1">#REF!</definedName>
    <definedName name="bb_MUQyNkVGRjM0RjI2NDI3Qk" localSheetId="8" hidden="1">#REF!</definedName>
    <definedName name="bb_MUQyNkVGRjM0RjI2NDI3Qk" hidden="1">#REF!</definedName>
    <definedName name="bb_MURFOTI2NjE4NjdCNENFQ0" localSheetId="8" hidden="1">#REF!</definedName>
    <definedName name="bb_MURFOTI2NjE4NjdCNENFQ0" hidden="1">#REF!</definedName>
    <definedName name="bb_MUU2RjZGMkY2QTA5NDJCRU" localSheetId="8" hidden="1">#REF!</definedName>
    <definedName name="bb_MUU2RjZGMkY2QTA5NDJCRU" hidden="1">#REF!</definedName>
    <definedName name="bb_MUU4N0NBMkQxMjUxNDAxQT" localSheetId="8" hidden="1">#REF!</definedName>
    <definedName name="bb_MUU4N0NBMkQxMjUxNDAxQT" hidden="1">#REF!</definedName>
    <definedName name="bb_MUU5QTE1MEExMEVFNENFME" localSheetId="8" hidden="1">#REF!</definedName>
    <definedName name="bb_MUU5QTE1MEExMEVFNENFME" hidden="1">#REF!</definedName>
    <definedName name="bb_MUUyNUUzNzhEMTg5NDUzME" localSheetId="8" hidden="1">#REF!</definedName>
    <definedName name="bb_MUUyNUUzNzhEMTg5NDUzME" hidden="1">#REF!</definedName>
    <definedName name="bb_MUUyNzYxM0JFREY1NDExMz" localSheetId="8" hidden="1">#REF!</definedName>
    <definedName name="bb_MUUyNzYxM0JFREY1NDExMz" hidden="1">#REF!</definedName>
    <definedName name="bb_MUVCODAwM0Q1QjJENDdERU" localSheetId="8" hidden="1">#REF!</definedName>
    <definedName name="bb_MUVCODAwM0Q1QjJENDdERU" hidden="1">#REF!</definedName>
    <definedName name="bb_MzAzOUY5QzkxRkYxNEVCRj" localSheetId="8" hidden="1">#REF!</definedName>
    <definedName name="bb_MzAzOUY5QzkxRkYxNEVCRj" hidden="1">#REF!</definedName>
    <definedName name="bb_MzBEMkRGNjYyRUM4NEE2Qz" localSheetId="8" hidden="1">#REF!</definedName>
    <definedName name="bb_MzBEMkRGNjYyRUM4NEE2Qz" hidden="1">#REF!</definedName>
    <definedName name="bb_MzE3RjQ0RkZEMzM2NDJBQz" localSheetId="8" hidden="1">#REF!</definedName>
    <definedName name="bb_MzE3RjQ0RkZEMzM2NDJBQz" hidden="1">#REF!</definedName>
    <definedName name="bb_MzgwNDU4QTI2MzIzNDhFQz" localSheetId="8" hidden="1">#REF!</definedName>
    <definedName name="bb_MzgwNDU4QTI2MzIzNDhFQz" hidden="1">#REF!</definedName>
    <definedName name="bb_MzhBRDREQUJFMTZFNEY1OU" localSheetId="8" hidden="1">#REF!</definedName>
    <definedName name="bb_MzhBRDREQUJFMTZFNEY1OU" hidden="1">#REF!</definedName>
    <definedName name="bb_MzhCNDMyMDNERDA2NDI4ME" localSheetId="8" hidden="1">#REF!</definedName>
    <definedName name="bb_MzhCNDMyMDNERDA2NDI4ME" hidden="1">#REF!</definedName>
    <definedName name="bb_MzI1Q0IxRjg1Q0Y2NDU4RE" localSheetId="8" hidden="1">#REF!</definedName>
    <definedName name="bb_MzI1Q0IxRjg1Q0Y2NDU4RE" hidden="1">#REF!</definedName>
    <definedName name="bb_MzJBN0Q4NTJCNkE3NDAxNT" localSheetId="8" hidden="1">#REF!</definedName>
    <definedName name="bb_MzJBN0Q4NTJCNkE3NDAxNT" hidden="1">#REF!</definedName>
    <definedName name="bb_MzJDMTlCNTJBNkVFNDgyQ0" localSheetId="8" hidden="1">#REF!</definedName>
    <definedName name="bb_MzJDMTlCNTJBNkVFNDgyQ0" hidden="1">#REF!</definedName>
    <definedName name="bb_MzM1QjU0OTVCOUZGNEIxMT" localSheetId="8" hidden="1">#REF!</definedName>
    <definedName name="bb_MzM1QjU0OTVCOUZGNEIxMT" hidden="1">#REF!</definedName>
    <definedName name="bb_MzM4QkQzRTA2MDZCNEQyMT" localSheetId="8" hidden="1">#REF!</definedName>
    <definedName name="bb_MzM4QkQzRTA2MDZCNEQyMT" hidden="1">#REF!</definedName>
    <definedName name="bb_MzNDMTBDQ0JFQkM2NDlFMj" localSheetId="8" hidden="1">#REF!</definedName>
    <definedName name="bb_MzNDMTBDQ0JFQkM2NDlFMj" hidden="1">#REF!</definedName>
    <definedName name="bb_MzQ5RDlFMzkzQTIwNDA1QU" localSheetId="8" hidden="1">#REF!</definedName>
    <definedName name="bb_MzQ5RDlFMzkzQTIwNDA1QU" hidden="1">#REF!</definedName>
    <definedName name="bb_MzRDRDhEMjY1MjIzNERBMj" localSheetId="8" hidden="1">#REF!</definedName>
    <definedName name="bb_MzRDRDhEMjY1MjIzNERBMj" hidden="1">#REF!</definedName>
    <definedName name="bb_MzVFNDU0OUY4Q0ZBNDMzRT" localSheetId="8" hidden="1">#REF!</definedName>
    <definedName name="bb_MzVFNDU0OUY4Q0ZBNDMzRT" hidden="1">#REF!</definedName>
    <definedName name="bb_MzVGQUY2MjY1NkVDNDUzMk" localSheetId="8" hidden="1">#REF!</definedName>
    <definedName name="bb_MzVGQUY2MjY1NkVDNDUzMk" hidden="1">#REF!</definedName>
    <definedName name="bb_MzYxOTkwN0UzODY1NEE1QT" localSheetId="8" hidden="1">#REF!</definedName>
    <definedName name="bb_MzYxOTkwN0UzODY1NEE1QT" hidden="1">#REF!</definedName>
    <definedName name="bb_MzZGQkFDRDM2NURCNDVEMT" hidden="1">[9]Various!#REF!</definedName>
    <definedName name="bb_N0E3RTg0QTBGM0IzNDZBRE" localSheetId="10" hidden="1">#REF!</definedName>
    <definedName name="bb_N0E3RTg0QTBGM0IzNDZBRE" localSheetId="8" hidden="1">#REF!</definedName>
    <definedName name="bb_N0E3RTg0QTBGM0IzNDZBRE" localSheetId="11" hidden="1">#REF!</definedName>
    <definedName name="bb_N0E3RTg0QTBGM0IzNDZBRE" hidden="1">#REF!</definedName>
    <definedName name="bb_N0FBNjQxQ0MxNjFCNEFDQT" localSheetId="10" hidden="1">'[14]DSRF Refunding'!#REF!</definedName>
    <definedName name="bb_N0FBNjQxQ0MxNjFCNEFDQT" localSheetId="8" hidden="1">'[14]DSRF Refunding'!#REF!</definedName>
    <definedName name="bb_N0FBNjQxQ0MxNjFCNEFDQT" localSheetId="11" hidden="1">'[14]DSRF Refunding'!#REF!</definedName>
    <definedName name="bb_N0FBNjQxQ0MxNjFCNEFDQT" hidden="1">'[14]DSRF Refunding'!#REF!</definedName>
    <definedName name="bb_N0FGRUZCODlGNTlDNEFFMz" localSheetId="10" hidden="1">#REF!</definedName>
    <definedName name="bb_N0FGRUZCODlGNTlDNEFFMz" localSheetId="8" hidden="1">#REF!</definedName>
    <definedName name="bb_N0FGRUZCODlGNTlDNEFFMz" localSheetId="11" hidden="1">#REF!</definedName>
    <definedName name="bb_N0FGRUZCODlGNTlDNEFFMz" hidden="1">#REF!</definedName>
    <definedName name="bb_N0M0RDg2MzM0RUM0NDE5RE" localSheetId="10" hidden="1">#REF!</definedName>
    <definedName name="bb_N0M0RDg2MzM0RUM0NDE5RE" localSheetId="8" hidden="1">#REF!</definedName>
    <definedName name="bb_N0M0RDg2MzM0RUM0NDE5RE" localSheetId="11" hidden="1">#REF!</definedName>
    <definedName name="bb_N0M0RDg2MzM0RUM0NDE5RE" hidden="1">#REF!</definedName>
    <definedName name="bb_N0MyODM2NUNCMUIyNERFQ0" localSheetId="10" hidden="1">[9]CapEx!#REF!</definedName>
    <definedName name="bb_N0MyODM2NUNCMUIyNERFQ0" localSheetId="11" hidden="1">[9]CapEx!#REF!</definedName>
    <definedName name="bb_N0MyODM2NUNCMUIyNERFQ0" hidden="1">[9]CapEx!#REF!</definedName>
    <definedName name="bb_N0Q3NjIyMjdGMjQ0NEU3MU" localSheetId="10" hidden="1">#REF!</definedName>
    <definedName name="bb_N0Q3NjIyMjdGMjQ0NEU3MU" localSheetId="8" hidden="1">#REF!</definedName>
    <definedName name="bb_N0Q3NjIyMjdGMjQ0NEU3MU" localSheetId="11" hidden="1">#REF!</definedName>
    <definedName name="bb_N0Q3NjIyMjdGMjQ0NEU3MU" hidden="1">#REF!</definedName>
    <definedName name="bb_N0RENERGRjhBMDBFNDkwMj" localSheetId="10" hidden="1">#REF!</definedName>
    <definedName name="bb_N0RENERGRjhBMDBFNDkwMj" localSheetId="8" hidden="1">#REF!</definedName>
    <definedName name="bb_N0RENERGRjhBMDBFNDkwMj" localSheetId="11" hidden="1">#REF!</definedName>
    <definedName name="bb_N0RENERGRjhBMDBFNDkwMj" hidden="1">#REF!</definedName>
    <definedName name="bb_N0U3Qjk0RUU2REZDNEUzMk" localSheetId="8" hidden="1">#REF!</definedName>
    <definedName name="bb_N0U3Qjk0RUU2REZDNEUzMk" hidden="1">#REF!</definedName>
    <definedName name="bb_N0UzMkNCRTc2RUJDNEJENT" localSheetId="8" hidden="1">#REF!</definedName>
    <definedName name="bb_N0UzMkNCRTc2RUJDNEJENT" hidden="1">#REF!</definedName>
    <definedName name="bb_N0VBRDBDQjg0QkUzNDlBQz" localSheetId="8" hidden="1">#REF!</definedName>
    <definedName name="bb_N0VBRDBDQjg0QkUzNDlBQz" hidden="1">#REF!</definedName>
    <definedName name="bb_N0VCREQ1REM1OTYyNDhBQT" localSheetId="8" hidden="1">#REF!</definedName>
    <definedName name="bb_N0VCREQ1REM1OTYyNDhBQT" hidden="1">#REF!</definedName>
    <definedName name="bb_N0VDQjY1RDU0NkY0NEY2NU" localSheetId="8" hidden="1">#REF!</definedName>
    <definedName name="bb_N0VDQjY1RDU0NkY0NEY2NU" hidden="1">#REF!</definedName>
    <definedName name="bb_N0ZCNUFGMTQwQjg1NEZEMU" localSheetId="8" hidden="1">#REF!</definedName>
    <definedName name="bb_N0ZCNUFGMTQwQjg1NEZEMU" hidden="1">#REF!</definedName>
    <definedName name="bb_N0ZEOUFCNzg0NDM4NDlFOE" localSheetId="8" hidden="1">#REF!</definedName>
    <definedName name="bb_N0ZEOUFCNzg0NDM4NDlFOE" hidden="1">#REF!</definedName>
    <definedName name="bb_NDA1MThDOTIzRjNENEU3OD" localSheetId="8" hidden="1">#REF!</definedName>
    <definedName name="bb_NDA1MThDOTIzRjNENEU3OD" hidden="1">#REF!</definedName>
    <definedName name="bb_NDcxNkVGNThDNEYyNDhBOE" localSheetId="8" hidden="1">#REF!</definedName>
    <definedName name="bb_NDcxNkVGNThDNEYyNDhBOE" hidden="1">#REF!</definedName>
    <definedName name="bb_NDdCRDU1Qjg1RjBDNDBDMD" localSheetId="8" hidden="1">#REF!</definedName>
    <definedName name="bb_NDdCRDU1Qjg1RjBDNDBDMD" hidden="1">#REF!</definedName>
    <definedName name="bb_NDEzNEY0RDcxRkJFNEFEMk" localSheetId="8" hidden="1">#REF!</definedName>
    <definedName name="bb_NDEzNEY0RDcxRkJFNEFEMk" hidden="1">#REF!</definedName>
    <definedName name="bb_NDEzNUMzOTRDREZGNEM0Q0" localSheetId="8" hidden="1">#REF!</definedName>
    <definedName name="bb_NDEzNUMzOTRDREZGNEM0Q0" hidden="1">#REF!</definedName>
    <definedName name="bb_NDFFRkVFQkQyQjRCNDAyND" localSheetId="8" hidden="1">#REF!</definedName>
    <definedName name="bb_NDFFRkVFQkQyQjRCNDAyND" hidden="1">#REF!</definedName>
    <definedName name="bb_NDg0QzQyMUQyMUFDNEExMz" localSheetId="8" hidden="1">#REF!</definedName>
    <definedName name="bb_NDg0QzQyMUQyMUFDNEExMz" hidden="1">#REF!</definedName>
    <definedName name="bb_NDgwRkM2RUQxOUI5NDQ1RD" hidden="1">'[15]Ten Year Gaps'!#REF!</definedName>
    <definedName name="bb_NDgzNzE5N0QyQzhCNEU1OE" localSheetId="10" hidden="1">#REF!</definedName>
    <definedName name="bb_NDgzNzE5N0QyQzhCNEU1OE" localSheetId="8" hidden="1">#REF!</definedName>
    <definedName name="bb_NDgzNzE5N0QyQzhCNEU1OE" localSheetId="11" hidden="1">#REF!</definedName>
    <definedName name="bb_NDgzNzE5N0QyQzhCNEU1OE" hidden="1">#REF!</definedName>
    <definedName name="bb_NDhBOEY2MEE0RTcxNDY4Qj" localSheetId="10" hidden="1">#REF!</definedName>
    <definedName name="bb_NDhBOEY2MEE0RTcxNDY4Qj" localSheetId="8" hidden="1">#REF!</definedName>
    <definedName name="bb_NDhBOEY2MEE0RTcxNDY4Qj" localSheetId="11" hidden="1">#REF!</definedName>
    <definedName name="bb_NDhBOEY2MEE0RTcxNDY4Qj" hidden="1">#REF!</definedName>
    <definedName name="bb_NDI0QzE3RDM5RjZGNDg2ME" localSheetId="10" hidden="1">[16]Savings!#REF!</definedName>
    <definedName name="bb_NDI0QzE3RDM5RjZGNDg2ME" localSheetId="11" hidden="1">[16]Savings!#REF!</definedName>
    <definedName name="bb_NDI0QzE3RDM5RjZGNDg2ME" hidden="1">[16]Savings!#REF!</definedName>
    <definedName name="bb_NDJBMTNFNjdGODQ2NDdBRD" localSheetId="10" hidden="1">#REF!</definedName>
    <definedName name="bb_NDJBMTNFNjdGODQ2NDdBRD" localSheetId="8" hidden="1">#REF!</definedName>
    <definedName name="bb_NDJBMTNFNjdGODQ2NDdBRD" localSheetId="11" hidden="1">#REF!</definedName>
    <definedName name="bb_NDJBMTNFNjdGODQ2NDdBRD" hidden="1">#REF!</definedName>
    <definedName name="bb_NDkxNDQxQjc2RUNFNDIwRE" localSheetId="10" hidden="1">#REF!</definedName>
    <definedName name="bb_NDkxNDQxQjc2RUNFNDIwRE" localSheetId="8" hidden="1">#REF!</definedName>
    <definedName name="bb_NDkxNDQxQjc2RUNFNDIwRE" localSheetId="11" hidden="1">#REF!</definedName>
    <definedName name="bb_NDkxNDQxQjc2RUNFNDIwRE" hidden="1">#REF!</definedName>
    <definedName name="bb_NDkyM0FFOThBMjVFNEZGMk" localSheetId="8" hidden="1">#REF!</definedName>
    <definedName name="bb_NDkyM0FFOThBMjVFNEZGMk" hidden="1">#REF!</definedName>
    <definedName name="bb_NDlEMTBGRUVFNThDNEM2Qk" localSheetId="8" hidden="1">#REF!</definedName>
    <definedName name="bb_NDlEMTBGRUVFNThDNEM2Qk" hidden="1">#REF!</definedName>
    <definedName name="bb_NDMwRjlDNjczNjQ0NDMzMk" localSheetId="8" hidden="1">#REF!</definedName>
    <definedName name="bb_NDMwRjlDNjczNjQ0NDMzMk" hidden="1">#REF!</definedName>
    <definedName name="bb_NDMxRkE5OEJDNjQ4NEY5RT" localSheetId="8" hidden="1">#REF!</definedName>
    <definedName name="bb_NDMxRkE5OEJDNjQ4NEY5RT" hidden="1">#REF!</definedName>
    <definedName name="bb_NDQ3NjU3RjFCQUJFNDM0M0" localSheetId="8" hidden="1">#REF!</definedName>
    <definedName name="bb_NDQ3NjU3RjFCQUJFNDM0M0" hidden="1">#REF!</definedName>
    <definedName name="bb_NDU0OUQyREExQzFCNDA4NT" localSheetId="8" hidden="1">#REF!</definedName>
    <definedName name="bb_NDU0OUQyREExQzFCNDA4NT" hidden="1">#REF!</definedName>
    <definedName name="bb_NDUzMEQxNUZEOUM4NDRBMk" localSheetId="8" hidden="1">#REF!</definedName>
    <definedName name="bb_NDUzMEQxNUZEOUM4NDRBMk" hidden="1">#REF!</definedName>
    <definedName name="bb_NDVDMkU0N0VDQkNGNDZCNT" localSheetId="8" hidden="1">#REF!</definedName>
    <definedName name="bb_NDVDMkU0N0VDQkNGNDZCNT" hidden="1">#REF!</definedName>
    <definedName name="bb_NDY1NDdCMkNBMTNFNDE5Qj" hidden="1">'[13]Base and Growth PVs'!#REF!</definedName>
    <definedName name="bb_NDY1OTg1RDQyM0ZCNDBGRk" localSheetId="10" hidden="1">#REF!</definedName>
    <definedName name="bb_NDY1OTg1RDQyM0ZCNDBGRk" localSheetId="8" hidden="1">#REF!</definedName>
    <definedName name="bb_NDY1OTg1RDQyM0ZCNDBGRk" localSheetId="11" hidden="1">#REF!</definedName>
    <definedName name="bb_NDY1OTg1RDQyM0ZCNDBGRk" hidden="1">#REF!</definedName>
    <definedName name="bb_NEE2NUE5NkVGMUI2NEE2QU" localSheetId="10" hidden="1">#REF!</definedName>
    <definedName name="bb_NEE2NUE5NkVGMUI2NEE2QU" localSheetId="8" hidden="1">#REF!</definedName>
    <definedName name="bb_NEE2NUE5NkVGMUI2NEE2QU" localSheetId="11" hidden="1">#REF!</definedName>
    <definedName name="bb_NEE2NUE5NkVGMUI2NEE2QU" hidden="1">#REF!</definedName>
    <definedName name="bb_NEE3QUMyODJBNkU5NDc5Nz" localSheetId="8" hidden="1">#REF!</definedName>
    <definedName name="bb_NEE3QUMyODJBNkU5NDc5Nz" hidden="1">#REF!</definedName>
    <definedName name="bb_NEFFNTE0NzREM0Y5NDE5MT" localSheetId="8" hidden="1">#REF!</definedName>
    <definedName name="bb_NEFFNTE0NzREM0Y5NDE5MT" hidden="1">#REF!</definedName>
    <definedName name="bb_NEI4M0UzQ0RCRTM4NEFBOE" localSheetId="8" hidden="1">#REF!</definedName>
    <definedName name="bb_NEI4M0UzQ0RCRTM4NEFBOE" hidden="1">#REF!</definedName>
    <definedName name="bb_NEI4NjIyNkRGRUFCNEEwOU" localSheetId="8" hidden="1">#REF!</definedName>
    <definedName name="bb_NEI4NjIyNkRGRUFCNEEwOU" hidden="1">#REF!</definedName>
    <definedName name="bb_NEM4QzEwNTM0RDhENDI0NE" localSheetId="8" hidden="1">#REF!</definedName>
    <definedName name="bb_NEM4QzEwNTM0RDhENDI0NE" hidden="1">#REF!</definedName>
    <definedName name="bb_NEMwNzY2NEM2OUM3NDk1Mj" hidden="1">'[14]Change in Exposure'!#REF!</definedName>
    <definedName name="bb_NEMxNUNBODI4MDFDNEUyRj" localSheetId="10" hidden="1">#REF!</definedName>
    <definedName name="bb_NEMxNUNBODI4MDFDNEUyRj" localSheetId="8" hidden="1">#REF!</definedName>
    <definedName name="bb_NEMxNUNBODI4MDFDNEUyRj" localSheetId="11" hidden="1">#REF!</definedName>
    <definedName name="bb_NEMxNUNBODI4MDFDNEUyRj" hidden="1">#REF!</definedName>
    <definedName name="bb_NENBNTQzQjE1N0MyNENBMk" localSheetId="8" hidden="1">#REF!</definedName>
    <definedName name="bb_NENBNTQzQjE1N0MyNENBMk" hidden="1">#REF!</definedName>
    <definedName name="bb_NEQ2RkY0MkNCNzc3NDFGME" localSheetId="8" hidden="1">#REF!</definedName>
    <definedName name="bb_NEQ2RkY0MkNCNzc3NDFGME" hidden="1">#REF!</definedName>
    <definedName name="bb_NEQ4RkYwQTAyOEUwNDZEQ0" localSheetId="8" hidden="1">#REF!</definedName>
    <definedName name="bb_NEQ4RkYwQTAyOEUwNDZEQ0" hidden="1">#REF!</definedName>
    <definedName name="bb_NEQzNUFCNkRCM0Q4NEM0RD" hidden="1">'[17]Sum 1'!#REF!</definedName>
    <definedName name="bb_NERGNzAyQzhGOEZDNDM3QU" localSheetId="10" hidden="1">#REF!</definedName>
    <definedName name="bb_NERGNzAyQzhGOEZDNDM3QU" localSheetId="8" hidden="1">#REF!</definedName>
    <definedName name="bb_NERGNzAyQzhGOEZDNDM3QU" localSheetId="11" hidden="1">#REF!</definedName>
    <definedName name="bb_NERGNzAyQzhGOEZDNDM3QU" hidden="1">#REF!</definedName>
    <definedName name="bb_NEU1N0JDMUI2QTc1NERGMT" localSheetId="10" hidden="1">#REF!</definedName>
    <definedName name="bb_NEU1N0JDMUI2QTc1NERGMT" localSheetId="8" hidden="1">#REF!</definedName>
    <definedName name="bb_NEU1N0JDMUI2QTc1NERGMT" localSheetId="11" hidden="1">#REF!</definedName>
    <definedName name="bb_NEU1N0JDMUI2QTc1NERGMT" hidden="1">#REF!</definedName>
    <definedName name="bb_NEU4NjI2NDIyNTQyNDk2ME" localSheetId="10" hidden="1">[16]Savings!#REF!</definedName>
    <definedName name="bb_NEU4NjI2NDIyNTQyNDk2ME" localSheetId="11" hidden="1">[16]Savings!#REF!</definedName>
    <definedName name="bb_NEU4NjI2NDIyNTQyNDk2ME" hidden="1">[16]Savings!#REF!</definedName>
    <definedName name="bb_NEUwQ0YwMDJBQzEzNDJFNz" localSheetId="10" hidden="1">#REF!</definedName>
    <definedName name="bb_NEUwQ0YwMDJBQzEzNDJFNz" localSheetId="8" hidden="1">#REF!</definedName>
    <definedName name="bb_NEUwQ0YwMDJBQzEzNDJFNz" localSheetId="11" hidden="1">#REF!</definedName>
    <definedName name="bb_NEUwQ0YwMDJBQzEzNDJFNz" hidden="1">#REF!</definedName>
    <definedName name="bb_NEVFNzNBQjc5ODBDNDNCRj" localSheetId="8" hidden="1">#REF!</definedName>
    <definedName name="bb_NEVFNzNBQjc5ODBDNDNCRj" hidden="1">#REF!</definedName>
    <definedName name="bb_NjA4NjA5MkVBRTkzNDgwRD" localSheetId="8" hidden="1">#REF!</definedName>
    <definedName name="bb_NjA4NjA5MkVBRTkzNDgwRD" hidden="1">#REF!</definedName>
    <definedName name="bb_NjA4RjRDRkRDNEZBNDY3Mk" localSheetId="8" hidden="1">#REF!</definedName>
    <definedName name="bb_NjA4RjRDRkRDNEZBNDY3Mk" hidden="1">#REF!</definedName>
    <definedName name="bb_NjAwRDIyOTMzN0I4NDNEQT" hidden="1">[16]Savings!#REF!</definedName>
    <definedName name="bb_NjcxNDY4MkZEQzdENDcxNE" localSheetId="10" hidden="1">#REF!</definedName>
    <definedName name="bb_NjcxNDY4MkZEQzdENDcxNE" localSheetId="8" hidden="1">#REF!</definedName>
    <definedName name="bb_NjcxNDY4MkZEQzdENDcxNE" localSheetId="11" hidden="1">#REF!</definedName>
    <definedName name="bb_NjcxNDY4MkZEQzdENDcxNE" hidden="1">#REF!</definedName>
    <definedName name="bb_NjczRUM5NTI3NEM3NEI5OD" localSheetId="10" hidden="1">#REF!</definedName>
    <definedName name="bb_NjczRUM5NTI3NEM3NEI5OD" localSheetId="8" hidden="1">#REF!</definedName>
    <definedName name="bb_NjczRUM5NTI3NEM3NEI5OD" localSheetId="11" hidden="1">#REF!</definedName>
    <definedName name="bb_NjczRUM5NTI3NEM3NEI5OD" hidden="1">#REF!</definedName>
    <definedName name="bb_NjdBOTNCQjgwOThGNDEwOE" localSheetId="8" hidden="1">#REF!</definedName>
    <definedName name="bb_NjdBOTNCQjgwOThGNDEwOE" hidden="1">#REF!</definedName>
    <definedName name="bb_NjdCQ0Y4RDAwNjEzNDI4M0" localSheetId="8" hidden="1">#REF!</definedName>
    <definedName name="bb_NjdCQ0Y4RDAwNjEzNDI4M0" hidden="1">#REF!</definedName>
    <definedName name="bb_NjEyRjVGQkE0NzIxNDRCQj" localSheetId="8" hidden="1">#REF!</definedName>
    <definedName name="bb_NjEyRjVGQkE0NzIxNDRCQj" hidden="1">#REF!</definedName>
    <definedName name="bb_Njg1NENGQTk3M0U5NEZEND" localSheetId="8" hidden="1">#REF!</definedName>
    <definedName name="bb_Njg1NENGQTk3M0U5NEZEND" hidden="1">#REF!</definedName>
    <definedName name="bb_NjhDRTI2MzBEODAzNDcxOD" localSheetId="8" hidden="1">#REF!</definedName>
    <definedName name="bb_NjhDRTI2MzBEODAzNDcxOD" hidden="1">#REF!</definedName>
    <definedName name="bb_NjI3RTAyQ0YyNTdGNDQ2Qz" localSheetId="8" hidden="1">#REF!</definedName>
    <definedName name="bb_NjI3RTAyQ0YyNTdGNDQ2Qz" hidden="1">#REF!</definedName>
    <definedName name="bb_NjlFNTdDRUM3NURFNDMzQz" hidden="1">[9]Various!#REF!</definedName>
    <definedName name="bb_NjQyRTdEMDdBMUJGNDU4Qk" localSheetId="10" hidden="1">#REF!</definedName>
    <definedName name="bb_NjQyRTdEMDdBMUJGNDU4Qk" localSheetId="8" hidden="1">#REF!</definedName>
    <definedName name="bb_NjQyRTdEMDdBMUJGNDU4Qk" localSheetId="11" hidden="1">#REF!</definedName>
    <definedName name="bb_NjQyRTdEMDdBMUJGNDU4Qk" hidden="1">#REF!</definedName>
    <definedName name="bb_NjRGRUU0N0M2NTkyNDkwNE" localSheetId="10" hidden="1">#REF!</definedName>
    <definedName name="bb_NjRGRUU0N0M2NTkyNDkwNE" localSheetId="8" hidden="1">#REF!</definedName>
    <definedName name="bb_NjRGRUU0N0M2NTkyNDkwNE" localSheetId="11" hidden="1">#REF!</definedName>
    <definedName name="bb_NjRGRUU0N0M2NTkyNDkwNE" hidden="1">#REF!</definedName>
    <definedName name="bb_NjU0MTFDQjdCRkI0NDYzNU" localSheetId="8" hidden="1">#REF!</definedName>
    <definedName name="bb_NjU0MTFDQjdCRkI0NDYzNU" hidden="1">#REF!</definedName>
    <definedName name="bb_NjY4NEQyMzA2MDQ5NEZCMU" localSheetId="8" hidden="1">#REF!</definedName>
    <definedName name="bb_NjY4NEQyMzA2MDQ5NEZCMU" hidden="1">#REF!</definedName>
    <definedName name="bb_NjYzQzU3QTQ4QkM1NDJBOT" localSheetId="8" hidden="1">#REF!</definedName>
    <definedName name="bb_NjYzQzU3QTQ4QkM1NDJBOT" hidden="1">#REF!</definedName>
    <definedName name="bb_NjZCRTMyNUFDQURGNDAyNj" localSheetId="8" hidden="1">#REF!</definedName>
    <definedName name="bb_NjZCRTMyNUFDQURGNDAyNj" hidden="1">#REF!</definedName>
    <definedName name="bb_NkFGMTI2MkZCQURCNDZCND" localSheetId="8" hidden="1">#REF!</definedName>
    <definedName name="bb_NkFGMTI2MkZCQURCNDZCND" hidden="1">#REF!</definedName>
    <definedName name="bb_NkI0NkFBOUY2RDU3NEJGOE" localSheetId="8" hidden="1">#REF!</definedName>
    <definedName name="bb_NkI0NkFBOUY2RDU3NEJGOE" hidden="1">#REF!</definedName>
    <definedName name="bb_NkJDNDY2MDQyRUZFNDY5OT" localSheetId="8" hidden="1">#REF!</definedName>
    <definedName name="bb_NkJDNDY2MDQyRUZFNDY5OT" hidden="1">#REF!</definedName>
    <definedName name="bb_NkM0RTAwOUJCRUZCNDYxM0" hidden="1">'[12]HTA Drivers'!#REF!</definedName>
    <definedName name="bb_NkMwMTQyMkYzQjc3NDJCN0" localSheetId="10" hidden="1">#REF!</definedName>
    <definedName name="bb_NkMwMTQyMkYzQjc3NDJCN0" localSheetId="8" hidden="1">#REF!</definedName>
    <definedName name="bb_NkMwMTQyMkYzQjc3NDJCN0" localSheetId="11" hidden="1">#REF!</definedName>
    <definedName name="bb_NkMwMTQyMkYzQjc3NDJCN0" hidden="1">#REF!</definedName>
    <definedName name="bb_NkNBQkNGODQ4MDFCNEI1QU" localSheetId="10" hidden="1">#REF!</definedName>
    <definedName name="bb_NkNBQkNGODQ4MDFCNEI1QU" localSheetId="8" hidden="1">#REF!</definedName>
    <definedName name="bb_NkNBQkNGODQ4MDFCNEI1QU" localSheetId="11" hidden="1">#REF!</definedName>
    <definedName name="bb_NkNBQkNGODQ4MDFCNEI1QU" hidden="1">#REF!</definedName>
    <definedName name="bb_NkQ1MzY5NkRGQTk3NDM0Qj" localSheetId="10" hidden="1">[16]Savings!#REF!</definedName>
    <definedName name="bb_NkQ1MzY5NkRGQTk3NDM0Qj" localSheetId="11" hidden="1">[16]Savings!#REF!</definedName>
    <definedName name="bb_NkQ1MzY5NkRGQTk3NDM0Qj" hidden="1">[16]Savings!#REF!</definedName>
    <definedName name="bb_NkQ3QkFCNkEyNjlGNDNEMz" localSheetId="10" hidden="1">#REF!</definedName>
    <definedName name="bb_NkQ3QkFCNkEyNjlGNDNEMz" localSheetId="8" hidden="1">#REF!</definedName>
    <definedName name="bb_NkQ3QkFCNkEyNjlGNDNEMz" localSheetId="11" hidden="1">#REF!</definedName>
    <definedName name="bb_NkQ3QkFCNkEyNjlGNDNEMz" hidden="1">#REF!</definedName>
    <definedName name="bb_NkREN0JFQUY4OTdBNDlCOU" localSheetId="10" hidden="1">[18]SUTVAT!#REF!</definedName>
    <definedName name="bb_NkREN0JFQUY4OTdBNDlCOU" localSheetId="8" hidden="1">[18]SUTVAT!#REF!</definedName>
    <definedName name="bb_NkREN0JFQUY4OTdBNDlCOU" localSheetId="11" hidden="1">[18]SUTVAT!#REF!</definedName>
    <definedName name="bb_NkREN0JFQUY4OTdBNDlCOU" hidden="1">[18]SUTVAT!#REF!</definedName>
    <definedName name="bb_NkU1NkI4RDhDOEI3NDQxNk" localSheetId="10" hidden="1">#REF!</definedName>
    <definedName name="bb_NkU1NkI4RDhDOEI3NDQxNk" localSheetId="8" hidden="1">#REF!</definedName>
    <definedName name="bb_NkU1NkI4RDhDOEI3NDQxNk" localSheetId="11" hidden="1">#REF!</definedName>
    <definedName name="bb_NkU1NkI4RDhDOEI3NDQxNk" hidden="1">#REF!</definedName>
    <definedName name="bb_NkVGRTJGOUIxMzQyNDIyNj" localSheetId="10" hidden="1">#REF!</definedName>
    <definedName name="bb_NkVGRTJGOUIxMzQyNDIyNj" localSheetId="8" hidden="1">#REF!</definedName>
    <definedName name="bb_NkVGRTJGOUIxMzQyNDIyNj" localSheetId="11" hidden="1">#REF!</definedName>
    <definedName name="bb_NkVGRTJGOUIxMzQyNDIyNj" hidden="1">#REF!</definedName>
    <definedName name="bb_NkY0QkI3OEU0QjNCNDVBRk" localSheetId="8" hidden="1">#REF!</definedName>
    <definedName name="bb_NkY0QkI3OEU0QjNCNDVBRk" hidden="1">#REF!</definedName>
    <definedName name="bb_NkZGODE2MzNFOEM0NEJDMj" localSheetId="8" hidden="1">#REF!</definedName>
    <definedName name="bb_NkZGODE2MzNFOEM0NEJDMj" hidden="1">#REF!</definedName>
    <definedName name="bb_NTA3OUE3MTAxQjAwNDE0OT" localSheetId="8" hidden="1">#REF!</definedName>
    <definedName name="bb_NTA3OUE3MTAxQjAwNDE0OT" hidden="1">#REF!</definedName>
    <definedName name="bb_NTAwNjQyRTExMkNDNDhGM0" localSheetId="8" hidden="1">#REF!</definedName>
    <definedName name="bb_NTAwNjQyRTExMkNDNDhGM0" hidden="1">#REF!</definedName>
    <definedName name="bb_NTBBMEIyMkZCMkM3NEI3N0" localSheetId="8" hidden="1">#REF!</definedName>
    <definedName name="bb_NTBBMEIyMkZCMkM3NEI3N0" hidden="1">#REF!</definedName>
    <definedName name="bb_NTBCMjI4REQ1MDkwNDg3Qj" localSheetId="8" hidden="1">#REF!</definedName>
    <definedName name="bb_NTBCMjI4REQ1MDkwNDg3Qj" hidden="1">#REF!</definedName>
    <definedName name="bb_NTc3NDk5Q0QzMTcxNDFEMD" localSheetId="8" hidden="1">#REF!</definedName>
    <definedName name="bb_NTc3NDk5Q0QzMTcxNDFEMD" hidden="1">#REF!</definedName>
    <definedName name="bb_NTc3NDkyOEUxNzlFNDY3NE" localSheetId="8" hidden="1">#REF!</definedName>
    <definedName name="bb_NTc3NDkyOEUxNzlFNDY3NE" hidden="1">#REF!</definedName>
    <definedName name="bb_NTdCNUZBMjJEOTkzNDkxRk" localSheetId="8" hidden="1">#REF!</definedName>
    <definedName name="bb_NTdCNUZBMjJEOTkzNDkxRk" hidden="1">#REF!</definedName>
    <definedName name="bb_NTdGMEJDQzBDNTc1NDc1Qj" localSheetId="8" hidden="1">#REF!</definedName>
    <definedName name="bb_NTdGMEJDQzBDNTc1NDc1Qj" hidden="1">#REF!</definedName>
    <definedName name="bb_NTE5ODlFODBFRDkzNDc0RT" hidden="1">[18]SUTVAT!#REF!</definedName>
    <definedName name="bb_NTExMTQ2OEE3ODY2NDE2RD" localSheetId="10" hidden="1">#REF!</definedName>
    <definedName name="bb_NTExMTQ2OEE3ODY2NDE2RD" localSheetId="8" hidden="1">#REF!</definedName>
    <definedName name="bb_NTExMTQ2OEE3ODY2NDE2RD" localSheetId="11" hidden="1">#REF!</definedName>
    <definedName name="bb_NTExMTQ2OEE3ODY2NDE2RD" hidden="1">#REF!</definedName>
    <definedName name="bb_NTEyREU0NTlENkEwNDY3ME" localSheetId="10" hidden="1">#REF!</definedName>
    <definedName name="bb_NTEyREU0NTlENkEwNDY3ME" localSheetId="8" hidden="1">#REF!</definedName>
    <definedName name="bb_NTEyREU0NTlENkEwNDY3ME" localSheetId="11" hidden="1">#REF!</definedName>
    <definedName name="bb_NTEyREU0NTlENkEwNDY3ME" hidden="1">#REF!</definedName>
    <definedName name="bb_NThFOTVEREEwREIzNDYxRU" localSheetId="8" hidden="1">#REF!</definedName>
    <definedName name="bb_NThFOTVEREEwREIzNDYxRU" hidden="1">#REF!</definedName>
    <definedName name="bb_NTI5NzZCRTI2QTRCNEUzNj" localSheetId="8" hidden="1">#REF!</definedName>
    <definedName name="bb_NTI5NzZCRTI2QTRCNEUzNj" hidden="1">#REF!</definedName>
    <definedName name="bb_NTIzQzA3RDlENjczNDU1RT" localSheetId="8" hidden="1">#REF!</definedName>
    <definedName name="bb_NTIzQzA3RDlENjczNDU1RT" hidden="1">#REF!</definedName>
    <definedName name="bb_NTJBQzE0M0FCRkRENEMzQU" localSheetId="8" hidden="1">#REF!</definedName>
    <definedName name="bb_NTJBQzE0M0FCRkRENEMzQU" hidden="1">#REF!</definedName>
    <definedName name="bb_NTJFNkI2RjZCOUQ2NDI0RT" localSheetId="8" hidden="1">#REF!</definedName>
    <definedName name="bb_NTJFNkI2RjZCOUQ2NDI0RT" hidden="1">#REF!</definedName>
    <definedName name="bb_NTlBNUUxMUIzNDI3NEUwNz" localSheetId="8" hidden="1">#REF!</definedName>
    <definedName name="bb_NTlBNUUxMUIzNDI3NEUwNz" hidden="1">#REF!</definedName>
    <definedName name="bb_NTU5MzZDMDZFRDVFNEUxMU" localSheetId="8" hidden="1">#REF!</definedName>
    <definedName name="bb_NTU5MzZDMDZFRDVFNEUxMU" hidden="1">#REF!</definedName>
    <definedName name="bb_NUE0NEE3RDE4OTM1NDc4NU" localSheetId="8" hidden="1">#REF!</definedName>
    <definedName name="bb_NUE0NEE3RDE4OTM1NDc4NU" hidden="1">#REF!</definedName>
    <definedName name="bb_NUE2QTE2Q0E5M0VCNDA5OT" localSheetId="8" hidden="1">#REF!</definedName>
    <definedName name="bb_NUE2QTE2Q0E5M0VCNDA5OT" hidden="1">#REF!</definedName>
    <definedName name="bb_NUI3MDJERUU1RTg2NDkwMj" localSheetId="8" hidden="1">#REF!</definedName>
    <definedName name="bb_NUI3MDJERUU1RTg2NDkwMj" hidden="1">#REF!</definedName>
    <definedName name="bb_NUQ1NkI1RDY2NkEyNDk0QU" localSheetId="8" hidden="1">#REF!</definedName>
    <definedName name="bb_NUQ1NkI1RDY2NkEyNDk0QU" hidden="1">#REF!</definedName>
    <definedName name="bb_NUQyMzkwN0RCMjNFNDBFMz" localSheetId="8" hidden="1">#REF!</definedName>
    <definedName name="bb_NUQyMzkwN0RCMjNFNDBFMz" hidden="1">#REF!</definedName>
    <definedName name="bb_NUQzRDYxNDZDNTdBNEUwN0" localSheetId="8" hidden="1">#REF!</definedName>
    <definedName name="bb_NUQzRDYxNDZDNTdBNEUwN0" hidden="1">#REF!</definedName>
    <definedName name="bb_NUU4QzA4RDEzMjI1NDgxQk" localSheetId="8" hidden="1">#REF!</definedName>
    <definedName name="bb_NUU4QzA4RDEzMjI1NDgxQk" hidden="1">#REF!</definedName>
    <definedName name="bb_NUUwMzYwQ0JBQjIxNEUxRU" hidden="1">'[14]Change in Exposure'!#REF!</definedName>
    <definedName name="bb_NUUxODcyREZFMkQxNEJFMD" localSheetId="10" hidden="1">#REF!</definedName>
    <definedName name="bb_NUUxODcyREZFMkQxNEJFMD" localSheetId="8" hidden="1">#REF!</definedName>
    <definedName name="bb_NUUxODcyREZFMkQxNEJFMD" localSheetId="11" hidden="1">#REF!</definedName>
    <definedName name="bb_NUUxODcyREZFMkQxNEJFMD" hidden="1">#REF!</definedName>
    <definedName name="bb_NUZBOEIxRDVBRjgxNDgxRE" localSheetId="10" hidden="1">#REF!</definedName>
    <definedName name="bb_NUZBOEIxRDVBRjgxNDgxRE" localSheetId="8" hidden="1">#REF!</definedName>
    <definedName name="bb_NUZBOEIxRDVBRjgxNDgxRE" localSheetId="11" hidden="1">#REF!</definedName>
    <definedName name="bb_NUZBOEIxRDVBRjgxNDgxRE" hidden="1">#REF!</definedName>
    <definedName name="bb_NUZBRUU2QUE1QzQ3NEMyMz" localSheetId="8" hidden="1">#REF!</definedName>
    <definedName name="bb_NUZBRUU2QUE1QzQ3NEMyMz" hidden="1">#REF!</definedName>
    <definedName name="bb_Nzc0NEZGRDYyOUZDNDkyMz" localSheetId="8" hidden="1">#REF!</definedName>
    <definedName name="bb_Nzc0NEZGRDYyOUZDNDkyMz" hidden="1">#REF!</definedName>
    <definedName name="bb_Nzc4RUU0QkQ0ODFDNEFGQU" localSheetId="8" hidden="1">#REF!</definedName>
    <definedName name="bb_Nzc4RUU0QkQ0ODFDNEFGQU" hidden="1">#REF!</definedName>
    <definedName name="bb_NzdBNDQyRTcwOTMxNDg2OU" localSheetId="8" hidden="1">#REF!</definedName>
    <definedName name="bb_NzdBNDQyRTcwOTMxNDg2OU" hidden="1">#REF!</definedName>
    <definedName name="bb_NzE3OTM2M0MyMkU1NDJGNj" localSheetId="8" hidden="1">#REF!</definedName>
    <definedName name="bb_NzE3OTM2M0MyMkU1NDJGNj" hidden="1">#REF!</definedName>
    <definedName name="bb_NzE5NzFBMjlGNzVGNDM5M0" localSheetId="8" hidden="1">#REF!</definedName>
    <definedName name="bb_NzE5NzFBMjlGNzVGNDM5M0" hidden="1">#REF!</definedName>
    <definedName name="bb_NzExQTlFRDYzNTA5NDJBNE" localSheetId="8" hidden="1">#REF!</definedName>
    <definedName name="bb_NzExQTlFRDYzNTA5NDJBNE" hidden="1">#REF!</definedName>
    <definedName name="bb_NzEyM0VCMjk4MzgwNDJFMT" localSheetId="8" hidden="1">#REF!</definedName>
    <definedName name="bb_NzEyM0VCMjk4MzgwNDJFMT" hidden="1">#REF!</definedName>
    <definedName name="bb_NzFEN0FDOTY5N0U2NDE0Q0" localSheetId="8" hidden="1">#REF!</definedName>
    <definedName name="bb_NzFEN0FDOTY5N0U2NDE0Q0" hidden="1">#REF!</definedName>
    <definedName name="bb_NzgyNTE1RkQ2NEU5NDgxNj" hidden="1">[9]Various!#REF!</definedName>
    <definedName name="bb_NzgzQTRCNTkwMTBDNEExRj" localSheetId="10" hidden="1">#REF!</definedName>
    <definedName name="bb_NzgzQTRCNTkwMTBDNEExRj" localSheetId="8" hidden="1">#REF!</definedName>
    <definedName name="bb_NzgzQTRCNTkwMTBDNEExRj" localSheetId="11" hidden="1">#REF!</definedName>
    <definedName name="bb_NzgzQTRCNTkwMTBDNEExRj" hidden="1">#REF!</definedName>
    <definedName name="bb_NzhCQjI3Qzg0MDI5NEYwNj" localSheetId="10" hidden="1">#REF!</definedName>
    <definedName name="bb_NzhCQjI3Qzg0MDI5NEYwNj" localSheetId="8" hidden="1">#REF!</definedName>
    <definedName name="bb_NzhCQjI3Qzg0MDI5NEYwNj" localSheetId="11" hidden="1">#REF!</definedName>
    <definedName name="bb_NzhCQjI3Qzg0MDI5NEYwNj" hidden="1">#REF!</definedName>
    <definedName name="bb_Nzk0RDA2OThGNThFNDBFME" localSheetId="8" hidden="1">#REF!</definedName>
    <definedName name="bb_Nzk0RDA2OThGNThFNDBFME" hidden="1">#REF!</definedName>
    <definedName name="bb_NzkxNTUwRDdEQ0NGNENGNk" hidden="1">[16]Savings!#REF!</definedName>
    <definedName name="bb_NzNENENDMEM5MUU1NDg1MU" localSheetId="10" hidden="1">#REF!</definedName>
    <definedName name="bb_NzNENENDMEM5MUU1NDg1MU" localSheetId="8" hidden="1">#REF!</definedName>
    <definedName name="bb_NzNENENDMEM5MUU1NDg1MU" localSheetId="11" hidden="1">#REF!</definedName>
    <definedName name="bb_NzNENENDMEM5MUU1NDg1MU" hidden="1">#REF!</definedName>
    <definedName name="bb_NzVBRDIzODIyMjU0NDA5RT" localSheetId="10" hidden="1">#REF!</definedName>
    <definedName name="bb_NzVBRDIzODIyMjU0NDA5RT" localSheetId="8" hidden="1">#REF!</definedName>
    <definedName name="bb_NzVBRDIzODIyMjU0NDA5RT" localSheetId="11" hidden="1">#REF!</definedName>
    <definedName name="bb_NzVBRDIzODIyMjU0NDA5RT" hidden="1">#REF!</definedName>
    <definedName name="bb_NzYzMjRBNEI5QTk0NEE2OD" localSheetId="8" hidden="1">#REF!</definedName>
    <definedName name="bb_NzYzMjRBNEI5QTk0NEE2OD" hidden="1">#REF!</definedName>
    <definedName name="bb_NzZGNDdERkUzM0YyNDdEMz" localSheetId="8" hidden="1">#REF!</definedName>
    <definedName name="bb_NzZGNDdERkUzM0YyNDdEMz" hidden="1">#REF!</definedName>
    <definedName name="bb_ODA5NENCNEY0QUYzNDFBMk" localSheetId="8" hidden="1">#REF!</definedName>
    <definedName name="bb_ODA5NENCNEY0QUYzNDFBMk" hidden="1">#REF!</definedName>
    <definedName name="bb_ODAzQzYzRjY4MjY1NDJBQT" localSheetId="8" hidden="1">#REF!</definedName>
    <definedName name="bb_ODAzQzYzRjY4MjY1NDJBQT" hidden="1">#REF!</definedName>
    <definedName name="bb_ODc1OTBBQzQ2NzgwNEM3RU" localSheetId="8" hidden="1">#REF!</definedName>
    <definedName name="bb_ODc1OTBBQzQ2NzgwNEM3RU" hidden="1">#REF!</definedName>
    <definedName name="bb_ODc3MUI3Q0UyQTAwNDRFQz" localSheetId="8" hidden="1">#REF!</definedName>
    <definedName name="bb_ODc3MUI3Q0UyQTAwNDRFQz" hidden="1">#REF!</definedName>
    <definedName name="bb_ODc5Qjc0QzZEMDczNDQwOE" localSheetId="8" hidden="1">#REF!</definedName>
    <definedName name="bb_ODc5Qjc0QzZEMDczNDQwOE" hidden="1">#REF!</definedName>
    <definedName name="bb_ODczNTE0NEFFRTc5NEExM0" localSheetId="8" hidden="1">#REF!</definedName>
    <definedName name="bb_ODczNTE0NEFFRTc5NEExM0" hidden="1">#REF!</definedName>
    <definedName name="bb_ODEwNjRCRTgwMDI4NEQwOE" localSheetId="8" hidden="1">#REF!</definedName>
    <definedName name="bb_ODEwNjRCRTgwMDI4NEQwOE" hidden="1">#REF!</definedName>
    <definedName name="bb_ODFDOEMxMUJBNkNBNDY4Mj" localSheetId="8" hidden="1">#REF!</definedName>
    <definedName name="bb_ODFDOEMxMUJBNkNBNDY4Mj" hidden="1">#REF!</definedName>
    <definedName name="bb_ODg2QTUyNzRDQkYyNDMwMk" localSheetId="8" hidden="1">#REF!</definedName>
    <definedName name="bb_ODg2QTUyNzRDQkYyNDMwMk" hidden="1">#REF!</definedName>
    <definedName name="bb_ODJBRDBDMUY3MTNDNDQzMT" localSheetId="8" hidden="1">#REF!</definedName>
    <definedName name="bb_ODJBRDBDMUY3MTNDNDQzMT" hidden="1">#REF!</definedName>
    <definedName name="bb_ODJDOUE4RkYxMkY1NDNGQj" localSheetId="8" hidden="1">#REF!</definedName>
    <definedName name="bb_ODJDOUE4RkYxMkY1NDNGQj" hidden="1">#REF!</definedName>
    <definedName name="bb_ODJFNUQxNEM0MzI2NDlCQj" localSheetId="8" hidden="1">#REF!</definedName>
    <definedName name="bb_ODJFNUQxNEM0MzI2NDlCQj" hidden="1">#REF!</definedName>
    <definedName name="bb_ODJGRTk2M0FCREM3NDI1RE" localSheetId="8" hidden="1">#REF!</definedName>
    <definedName name="bb_ODJGRTk2M0FCREM3NDI1RE" hidden="1">#REF!</definedName>
    <definedName name="bb_ODk0MDg0MUJFNjExNDE1Nz" localSheetId="8" hidden="1">#REF!</definedName>
    <definedName name="bb_ODk0MDg0MUJFNjExNDE1Nz" hidden="1">#REF!</definedName>
    <definedName name="bb_ODM4MThGMjc1RDdFNEQ5MU" localSheetId="8" hidden="1">#REF!</definedName>
    <definedName name="bb_ODM4MThGMjc1RDdFNEQ5MU" hidden="1">#REF!</definedName>
    <definedName name="bb_ODNBMUVFQTA2MjFCNDRDMU" localSheetId="8" hidden="1">#REF!</definedName>
    <definedName name="bb_ODNBMUVFQTA2MjFCNDRDMU" hidden="1">#REF!</definedName>
    <definedName name="bb_ODQ4QTNBN0NFOUUwNEIwOE" localSheetId="8" hidden="1">#REF!</definedName>
    <definedName name="bb_ODQ4QTNBN0NFOUUwNEIwOE" hidden="1">#REF!</definedName>
    <definedName name="bb_ODQxQTFFQkE0Q0Y3NDU0RT" localSheetId="8" hidden="1">#REF!</definedName>
    <definedName name="bb_ODQxQTFFQkE0Q0Y3NDU0RT" hidden="1">#REF!</definedName>
    <definedName name="bb_ODRFMjkwQ0Q3QzFFNDNERT" localSheetId="8" hidden="1">#REF!</definedName>
    <definedName name="bb_ODRFMjkwQ0Q3QzFFNDNERT" hidden="1">#REF!</definedName>
    <definedName name="bb_ODU4MzcyRUQyNjk2NDY2OU" localSheetId="8" hidden="1">#REF!</definedName>
    <definedName name="bb_ODU4MzcyRUQyNjk2NDY2OU" hidden="1">#REF!</definedName>
    <definedName name="bb_ODU4OUY2NDVFQzBGNDVCNk" localSheetId="8" hidden="1">#REF!</definedName>
    <definedName name="bb_ODU4OUY2NDVFQzBGNDVCNk" hidden="1">#REF!</definedName>
    <definedName name="bb_ODU5Qjc5NTEzNDVDNEQ1Mz" localSheetId="8" hidden="1">#REF!</definedName>
    <definedName name="bb_ODU5Qjc5NTEzNDVDNEQ1Mz" hidden="1">#REF!</definedName>
    <definedName name="bb_ODVCNTI5QTA1MDlDNEMxQz" localSheetId="8" hidden="1">#REF!</definedName>
    <definedName name="bb_ODVCNTI5QTA1MDlDNEMxQz" hidden="1">#REF!</definedName>
    <definedName name="bb_ODVFMENERDFEQzNENDRDNE" localSheetId="8" hidden="1">#REF!</definedName>
    <definedName name="bb_ODVFMENERDFEQzNENDRDNE" hidden="1">#REF!</definedName>
    <definedName name="bb_OEE1ODQ5NEIzODc0NEU0MT" hidden="1">'[19]Debt Service Summary'!#REF!</definedName>
    <definedName name="bb_OEM4NkIyOUQ5RDQ1NDhGQj" localSheetId="10" hidden="1">#REF!</definedName>
    <definedName name="bb_OEM4NkIyOUQ5RDQ1NDhGQj" localSheetId="8" hidden="1">#REF!</definedName>
    <definedName name="bb_OEM4NkIyOUQ5RDQ1NDhGQj" localSheetId="11" hidden="1">#REF!</definedName>
    <definedName name="bb_OEM4NkIyOUQ5RDQ1NDhGQj" hidden="1">#REF!</definedName>
    <definedName name="bb_OENDN0UzQTE4QzVGNDU2Mz" localSheetId="10" hidden="1">'[17]Sum 1'!#REF!</definedName>
    <definedName name="bb_OENDN0UzQTE4QzVGNDU2Mz" localSheetId="8" hidden="1">'[17]Sum 1'!#REF!</definedName>
    <definedName name="bb_OENDN0UzQTE4QzVGNDU2Mz" localSheetId="11" hidden="1">'[17]Sum 1'!#REF!</definedName>
    <definedName name="bb_OENDN0UzQTE4QzVGNDU2Mz" hidden="1">'[17]Sum 1'!#REF!</definedName>
    <definedName name="bb_OENERDBDMTMyQUVENDMxQT" localSheetId="10" hidden="1">#REF!</definedName>
    <definedName name="bb_OENERDBDMTMyQUVENDMxQT" localSheetId="8" hidden="1">#REF!</definedName>
    <definedName name="bb_OENERDBDMTMyQUVENDMxQT" localSheetId="11" hidden="1">#REF!</definedName>
    <definedName name="bb_OENERDBDMTMyQUVENDMxQT" hidden="1">#REF!</definedName>
    <definedName name="bb_OENERTQzQkFEQkQ4NDdFMk" localSheetId="10" hidden="1">#REF!</definedName>
    <definedName name="bb_OENERTQzQkFEQkQ4NDdFMk" localSheetId="8" hidden="1">#REF!</definedName>
    <definedName name="bb_OENERTQzQkFEQkQ4NDdFMk" localSheetId="11" hidden="1">#REF!</definedName>
    <definedName name="bb_OENERTQzQkFEQkQ4NDdFMk" hidden="1">#REF!</definedName>
    <definedName name="bb_OEQ5MERERkEzOUMyNEQ0RU" localSheetId="8" hidden="1">#REF!</definedName>
    <definedName name="bb_OEQ5MERERkEzOUMyNEQ0RU" hidden="1">#REF!</definedName>
    <definedName name="bb_OEQyRDEwQUNEMUVBNEUyQk" localSheetId="8" hidden="1">#REF!</definedName>
    <definedName name="bb_OEQyRDEwQUNEMUVBNEUyQk" hidden="1">#REF!</definedName>
    <definedName name="bb_OERGOEMzNDgyNUJENDk2N0" localSheetId="8" hidden="1">#REF!</definedName>
    <definedName name="bb_OERGOEMzNDgyNUJENDk2N0" hidden="1">#REF!</definedName>
    <definedName name="bb_OEUwQ0U3OEMxMTk0NDlBQz" localSheetId="8" hidden="1">#REF!</definedName>
    <definedName name="bb_OEUwQ0U3OEMxMTk0NDlBQz" hidden="1">#REF!</definedName>
    <definedName name="bb_OEVDQTY5MjhGNERENDlCMT" localSheetId="8" hidden="1">#REF!</definedName>
    <definedName name="bb_OEVDQTY5MjhGNERENDlCMT" hidden="1">#REF!</definedName>
    <definedName name="bb_OEVERjU0RTFBQzAyNDYzQ0" localSheetId="8" hidden="1">#REF!</definedName>
    <definedName name="bb_OEVERjU0RTFBQzAyNDYzQ0" hidden="1">#REF!</definedName>
    <definedName name="bb_OTA0MkE5NTAyQzY0NEY1Mj" localSheetId="8" hidden="1">#REF!</definedName>
    <definedName name="bb_OTA0MkE5NTAyQzY0NEY1Mj" hidden="1">#REF!</definedName>
    <definedName name="bb_OTA2NzQzNTNFODg1NEE0MD" localSheetId="8" hidden="1">#REF!</definedName>
    <definedName name="bb_OTA2NzQzNTNFODg1NEE0MD" hidden="1">#REF!</definedName>
    <definedName name="bb_OTA4QzIxREFBQjI5NDE5Nk" localSheetId="8" hidden="1">#REF!</definedName>
    <definedName name="bb_OTA4QzIxREFBQjI5NDE5Nk" hidden="1">#REF!</definedName>
    <definedName name="bb_OTAwNUYzQzM4RTZFNDEwQT" localSheetId="8" hidden="1">#REF!</definedName>
    <definedName name="bb_OTAwNUYzQzM4RTZFNDEwQT" hidden="1">#REF!</definedName>
    <definedName name="bb_OTc3MUREMjY2Qjc1NDI4Nj" localSheetId="8" hidden="1">#REF!</definedName>
    <definedName name="bb_OTc3MUREMjY2Qjc1NDI4Nj" hidden="1">#REF!</definedName>
    <definedName name="bb_OTdFRkM3Q0UwNDg0NDBEOE" localSheetId="8" hidden="1">#REF!</definedName>
    <definedName name="bb_OTdFRkM3Q0UwNDg0NDBEOE" hidden="1">#REF!</definedName>
    <definedName name="bb_OTFCMjAwRjk4QzQ1NENERU" localSheetId="8" hidden="1">#REF!</definedName>
    <definedName name="bb_OTFCMjAwRjk4QzQ1NENERU" hidden="1">#REF!</definedName>
    <definedName name="bb_OTI2QkM2M0E0Njc5NEMwQU" localSheetId="8" hidden="1">#REF!</definedName>
    <definedName name="bb_OTI2QkM2M0E0Njc5NEMwQU" hidden="1">#REF!</definedName>
    <definedName name="bb_OTI4OEM3RkY4QTQzNDY5QU" localSheetId="8" hidden="1">#REF!</definedName>
    <definedName name="bb_OTI4OEM3RkY4QTQzNDY5QU" hidden="1">#REF!</definedName>
    <definedName name="bb_OTJDNzNCQkQyQzZCNEVDMD" localSheetId="8" hidden="1">#REF!</definedName>
    <definedName name="bb_OTJDNzNCQkQyQzZCNEVDMD" hidden="1">#REF!</definedName>
    <definedName name="bb_OTkxMTE1NTY5N0I4NDQzNE" localSheetId="8" hidden="1">#REF!</definedName>
    <definedName name="bb_OTkxMTE1NTY5N0I4NDQzNE" hidden="1">#REF!</definedName>
    <definedName name="bb_OTM2QTI2QjhCNDc4NDNFMU" localSheetId="8" hidden="1">#REF!</definedName>
    <definedName name="bb_OTM2QTI2QjhCNDc4NDNFMU" hidden="1">#REF!</definedName>
    <definedName name="bb_OTNBMkZCRDdFMjk3NDc2Nk" localSheetId="8" hidden="1">#REF!</definedName>
    <definedName name="bb_OTNBMkZCRDdFMjk3NDc2Nk" hidden="1">#REF!</definedName>
    <definedName name="bb_OTQ3MDEwMkE2M0Y0NDgyM0" localSheetId="8" hidden="1">#REF!</definedName>
    <definedName name="bb_OTQ3MDEwMkE2M0Y0NDgyM0" hidden="1">#REF!</definedName>
    <definedName name="bb_OTRGOUY3NDI3MTQ2NDMzOD" localSheetId="8" hidden="1">#REF!</definedName>
    <definedName name="bb_OTRGOUY3NDI3MTQ2NDMzOD" hidden="1">#REF!</definedName>
    <definedName name="bb_OTU3MTcxMjhBMDcxNDUyOE" localSheetId="8" hidden="1">#REF!</definedName>
    <definedName name="bb_OTU3MTcxMjhBMDcxNDUyOE" hidden="1">#REF!</definedName>
    <definedName name="bb_OTVCNEY2RjNEMkRENEI3OT" localSheetId="8" hidden="1">#REF!</definedName>
    <definedName name="bb_OTVCNEY2RjNEMkRENEI3OT" hidden="1">#REF!</definedName>
    <definedName name="bb_OTVGQUQ0REJGQjJCNEE2RE" localSheetId="8" hidden="1">#REF!</definedName>
    <definedName name="bb_OTVGQUQ0REJGQjJCNEE2RE" hidden="1">#REF!</definedName>
    <definedName name="bb_OTY3MjQ2NTJGRDdGNDBFOU" localSheetId="8" hidden="1">#REF!</definedName>
    <definedName name="bb_OTY3MjQ2NTJGRDdGNDBFOU" hidden="1">#REF!</definedName>
    <definedName name="bb_OTYwM0E0QzEzRDRFNEE5Q0" localSheetId="8" hidden="1">#REF!</definedName>
    <definedName name="bb_OTYwM0E0QzEzRDRFNEE5Q0" hidden="1">#REF!</definedName>
    <definedName name="bb_OTZFRjRENjg4RTBBNDAyNk" localSheetId="8" hidden="1">#REF!</definedName>
    <definedName name="bb_OTZFRjRENjg4RTBBNDAyNk" hidden="1">#REF!</definedName>
    <definedName name="bb_OUE0MjMxRjRCQzVDNEQ2RT" localSheetId="8" hidden="1">#REF!</definedName>
    <definedName name="bb_OUE0MjMxRjRCQzVDNEQ2RT" hidden="1">#REF!</definedName>
    <definedName name="bb_OUE2MUI1NTQ5RjNBNENBMj" hidden="1">'[12]HTA Drivers'!#REF!</definedName>
    <definedName name="bb_OUFDMTREMzIzREQ5NDQ2ME" hidden="1">'[13]Base and Growth PVs'!#REF!</definedName>
    <definedName name="bb_OUIxOTM4Q0M4NDExNEU3M0" localSheetId="10" hidden="1">#REF!</definedName>
    <definedName name="bb_OUIxOTM4Q0M4NDExNEU3M0" localSheetId="8" hidden="1">#REF!</definedName>
    <definedName name="bb_OUIxOTM4Q0M4NDExNEU3M0" localSheetId="11" hidden="1">#REF!</definedName>
    <definedName name="bb_OUIxOTM4Q0M4NDExNEU3M0" hidden="1">#REF!</definedName>
    <definedName name="bb_OUJDMjg0NzYwMUVFNEMyMk" localSheetId="10" hidden="1">#REF!</definedName>
    <definedName name="bb_OUJDMjg0NzYwMUVFNEMyMk" localSheetId="8" hidden="1">#REF!</definedName>
    <definedName name="bb_OUJDMjg0NzYwMUVFNEMyMk" localSheetId="11" hidden="1">#REF!</definedName>
    <definedName name="bb_OUJDMjg0NzYwMUVFNEMyMk" hidden="1">#REF!</definedName>
    <definedName name="bb_OUM5RUEyQUI0OTQ0NDQ2ND" localSheetId="8" hidden="1">#REF!</definedName>
    <definedName name="bb_OUM5RUEyQUI0OTQ0NDQ2ND" hidden="1">#REF!</definedName>
    <definedName name="bb_OURCNDJGOUU1RkFENDNCMU" localSheetId="8" hidden="1">#REF!</definedName>
    <definedName name="bb_OURCNDJGOUU1RkFENDNCMU" hidden="1">#REF!</definedName>
    <definedName name="bb_OURGMUUxMTcxRTQzNDc3Qk" localSheetId="8" hidden="1">#REF!</definedName>
    <definedName name="bb_OURGMUUxMTcxRTQzNDc3Qk" hidden="1">#REF!</definedName>
    <definedName name="bb_OUU0Q0VDN0M1MDJGNDk2QT" localSheetId="8" hidden="1">#REF!</definedName>
    <definedName name="bb_OUU0Q0VDN0M1MDJGNDk2QT" hidden="1">#REF!</definedName>
    <definedName name="bb_OUVCNDVFMjA3QzVFNDM3Mz" localSheetId="8" hidden="1">#REF!</definedName>
    <definedName name="bb_OUVCNDVFMjA3QzVFNDM3Mz" hidden="1">#REF!</definedName>
    <definedName name="bb_OUVDQ0JEQTVCNUE1NEMwNj" hidden="1">[15]CapEx!#REF!</definedName>
    <definedName name="bb_OUY3NjI2REU4MTEwNDNENT" localSheetId="10" hidden="1">#REF!</definedName>
    <definedName name="bb_OUY3NjI2REU4MTEwNDNENT" localSheetId="8" hidden="1">#REF!</definedName>
    <definedName name="bb_OUY3NjI2REU4MTEwNDNENT" localSheetId="11" hidden="1">#REF!</definedName>
    <definedName name="bb_OUY3NjI2REU4MTEwNDNENT" hidden="1">#REF!</definedName>
    <definedName name="bb_Q0E1MzE3MDczMTNGNEU3RU" localSheetId="10" hidden="1">#REF!</definedName>
    <definedName name="bb_Q0E1MzE3MDczMTNGNEU3RU" localSheetId="8" hidden="1">#REF!</definedName>
    <definedName name="bb_Q0E1MzE3MDczMTNGNEU3RU" localSheetId="11" hidden="1">#REF!</definedName>
    <definedName name="bb_Q0E1MzE3MDczMTNGNEU3RU" hidden="1">#REF!</definedName>
    <definedName name="bb_Q0E1RjlEMURCRTBCNEFBMk" localSheetId="8" hidden="1">#REF!</definedName>
    <definedName name="bb_Q0E1RjlEMURCRTBCNEFBMk" hidden="1">#REF!</definedName>
    <definedName name="bb_Q0E2RTkxMzFGOEQ4NEZEOU" localSheetId="8" hidden="1">#REF!</definedName>
    <definedName name="bb_Q0E2RTkxMzFGOEQ4NEZEOU" hidden="1">#REF!</definedName>
    <definedName name="bb_Q0E3MDc2NzcwQTM4NDA4QT" localSheetId="8" hidden="1">#REF!</definedName>
    <definedName name="bb_Q0E3MDc2NzcwQTM4NDA4QT" hidden="1">#REF!</definedName>
    <definedName name="bb_Q0JBMThGMkM2QzQ4NDY4Mj" localSheetId="8" hidden="1">#REF!</definedName>
    <definedName name="bb_Q0JBMThGMkM2QzQ4NDY4Mj" hidden="1">#REF!</definedName>
    <definedName name="bb_Q0Q0QzRCQTcxQzQwNDBBMk" localSheetId="8" hidden="1">#REF!</definedName>
    <definedName name="bb_Q0Q0QzRCQTcxQzQwNDBBMk" hidden="1">#REF!</definedName>
    <definedName name="bb_Q0QzMDhBOTQwQUU2NEQ2OD" localSheetId="8" hidden="1">#REF!</definedName>
    <definedName name="bb_Q0QzMDhBOTQwQUU2NEQ2OD" hidden="1">#REF!</definedName>
    <definedName name="bb_Q0RCRTA5NjBFN0EyNDZDRk" localSheetId="8" hidden="1">#REF!</definedName>
    <definedName name="bb_Q0RCRTA5NjBFN0EyNDZDRk" hidden="1">#REF!</definedName>
    <definedName name="bb_Q0U0RTlDRjE1NjI1NEU1RD" localSheetId="8" hidden="1">#REF!</definedName>
    <definedName name="bb_Q0U0RTlDRjE1NjI1NEU1RD" hidden="1">#REF!</definedName>
    <definedName name="bb_Q0ZENDk1MzY3RjEyNDQwMz" localSheetId="8" hidden="1">#REF!</definedName>
    <definedName name="bb_Q0ZENDk1MzY3RjEyNDQwMz" hidden="1">#REF!</definedName>
    <definedName name="bb_Q0ZFMkQwOTZCOUZCNEY0RT" localSheetId="8" hidden="1">#REF!</definedName>
    <definedName name="bb_Q0ZFMkQwOTZCOUZCNEY0RT" hidden="1">#REF!</definedName>
    <definedName name="bb_QjA1Qzg2NDQ2MEE2NDEwOE" localSheetId="8" hidden="1">#REF!</definedName>
    <definedName name="bb_QjA1Qzg2NDQ2MEE2NDEwOE" hidden="1">#REF!</definedName>
    <definedName name="bb_QjA4NEExMTA4MEYwNDBCMz" localSheetId="8" hidden="1">#REF!</definedName>
    <definedName name="bb_QjA4NEExMTA4MEYwNDBCMz" hidden="1">#REF!</definedName>
    <definedName name="bb_QjBFRjU2NjA3MkM3NDQ4Rj" localSheetId="8" hidden="1">#REF!</definedName>
    <definedName name="bb_QjBFRjU2NjA3MkM3NDQ4Rj" hidden="1">#REF!</definedName>
    <definedName name="bb_Qjc2QTkxMDczNjE4NDgwRk" localSheetId="8" hidden="1">#REF!</definedName>
    <definedName name="bb_Qjc2QTkxMDczNjE4NDgwRk" hidden="1">#REF!</definedName>
    <definedName name="bb_QjcxRkNEOEM5REM3NDkyN0" localSheetId="8" hidden="1">#REF!</definedName>
    <definedName name="bb_QjcxRkNEOEM5REM3NDkyN0" hidden="1">#REF!</definedName>
    <definedName name="bb_Qjg3RDhEN0E4NkY5NDJBNk" localSheetId="8" hidden="1">#REF!</definedName>
    <definedName name="bb_Qjg3RDhEN0E4NkY5NDJBNk" hidden="1">#REF!</definedName>
    <definedName name="bb_QjgxRTM0NEY0QjRENDRGRk" localSheetId="8" hidden="1">#REF!</definedName>
    <definedName name="bb_QjgxRTM0NEY0QjRENDRGRk" hidden="1">#REF!</definedName>
    <definedName name="bb_QjhFQjIwMURFNzgwNEY1RE" localSheetId="8" hidden="1">#REF!</definedName>
    <definedName name="bb_QjhFQjIwMURFNzgwNEY1RE" hidden="1">#REF!</definedName>
    <definedName name="bb_QjhGNURCNTVFNjIwNEJDRU" localSheetId="8" hidden="1">#REF!</definedName>
    <definedName name="bb_QjhGNURCNTVFNjIwNEJDRU" hidden="1">#REF!</definedName>
    <definedName name="bb_QjIxRkQ5Q0FGMEMwNDJDRT" localSheetId="8" hidden="1">#REF!</definedName>
    <definedName name="bb_QjIxRkQ5Q0FGMEMwNDJDRT" hidden="1">#REF!</definedName>
    <definedName name="bb_QjIzMzRCNURGMEIxNDgxOE" localSheetId="8" hidden="1">#REF!</definedName>
    <definedName name="bb_QjIzMzRCNURGMEIxNDgxOE" hidden="1">#REF!</definedName>
    <definedName name="bb_QjIzMzYzOEMxMEYxNDI4Qj" localSheetId="8" hidden="1">#REF!</definedName>
    <definedName name="bb_QjIzMzYzOEMxMEYxNDI4Qj" hidden="1">#REF!</definedName>
    <definedName name="bb_Qjk0NEI0QTUxRDVGNEZFND" localSheetId="8" hidden="1">#REF!</definedName>
    <definedName name="bb_Qjk0NEI0QTUxRDVGNEZFND" hidden="1">#REF!</definedName>
    <definedName name="bb_Qjk2NkM0QzlBMUNGNDhEQj" localSheetId="8" hidden="1">#REF!</definedName>
    <definedName name="bb_Qjk2NkM0QzlBMUNGNDhEQj" hidden="1">#REF!</definedName>
    <definedName name="bb_Qjk3QzYwNUM0RDI2NDhBOE" localSheetId="8" hidden="1">#REF!</definedName>
    <definedName name="bb_Qjk3QzYwNUM0RDI2NDhBOE" hidden="1">#REF!</definedName>
    <definedName name="bb_QjlFNDgzQjNFMzk4NDhDM0" localSheetId="8" hidden="1">#REF!</definedName>
    <definedName name="bb_QjlFNDgzQjNFMzk4NDhDM0" hidden="1">#REF!</definedName>
    <definedName name="bb_QjM0NUFBMDNCQjc5NDU5Qk" localSheetId="8" hidden="1">#REF!</definedName>
    <definedName name="bb_QjM0NUFBMDNCQjc5NDU5Qk" hidden="1">#REF!</definedName>
    <definedName name="bb_QjNBRUZDNzExMjI3NEZGNz" localSheetId="8" hidden="1">#REF!</definedName>
    <definedName name="bb_QjNBRUZDNzExMjI3NEZGNz" hidden="1">#REF!</definedName>
    <definedName name="bb_QjQ1MzMyMzE1OEUwNERGOD" localSheetId="8" hidden="1">#REF!</definedName>
    <definedName name="bb_QjQ1MzMyMzE1OEUwNERGOD" hidden="1">#REF!</definedName>
    <definedName name="bb_QjRGMjhENTE4Rjg5NDkyQ0" localSheetId="8" hidden="1">#REF!</definedName>
    <definedName name="bb_QjRGMjhENTE4Rjg5NDkyQ0" hidden="1">#REF!</definedName>
    <definedName name="bb_QjVENTY1QTI4MEE2NEFGQT" localSheetId="8" hidden="1">#REF!</definedName>
    <definedName name="bb_QjVENTY1QTI4MEE2NEFGQT" hidden="1">#REF!</definedName>
    <definedName name="bb_QjYzRjM5MkYxRERENDhBRE" localSheetId="8" hidden="1">#REF!</definedName>
    <definedName name="bb_QjYzRjM5MkYxRERENDhBRE" hidden="1">#REF!</definedName>
    <definedName name="bb_QjZBNUJCNDI5NTY2NDExQj" hidden="1">[16]Savings!#REF!</definedName>
    <definedName name="bb_QjZCNkIzMzY0MDhFNDc4Mj" localSheetId="10" hidden="1">#REF!</definedName>
    <definedName name="bb_QjZCNkIzMzY0MDhFNDc4Mj" localSheetId="8" hidden="1">#REF!</definedName>
    <definedName name="bb_QjZCNkIzMzY0MDhFNDc4Mj" localSheetId="11" hidden="1">#REF!</definedName>
    <definedName name="bb_QjZCNkIzMzY0MDhFNDc4Mj" hidden="1">#REF!</definedName>
    <definedName name="bb_QjZCQUIzRUFCQjVGNDEzME" localSheetId="10" hidden="1">#REF!</definedName>
    <definedName name="bb_QjZCQUIzRUFCQjVGNDEzME" localSheetId="8" hidden="1">#REF!</definedName>
    <definedName name="bb_QjZCQUIzRUFCQjVGNDEzME" localSheetId="11" hidden="1">#REF!</definedName>
    <definedName name="bb_QjZCQUIzRUFCQjVGNDEzME" hidden="1">#REF!</definedName>
    <definedName name="bb_QkE5MjE0MUJCQkVFNDAwQ0" localSheetId="8" hidden="1">#REF!</definedName>
    <definedName name="bb_QkE5MjE0MUJCQkVFNDAwQ0" hidden="1">#REF!</definedName>
    <definedName name="bb_QkFCRjI1RUU2MUIyNDNFNT" localSheetId="8" hidden="1">#REF!</definedName>
    <definedName name="bb_QkFCRjI1RUU2MUIyNDNFNT" hidden="1">#REF!</definedName>
    <definedName name="bb_QkFDNkZEQ0YwNEMxNEVCMD" localSheetId="8" hidden="1">#REF!</definedName>
    <definedName name="bb_QkFDNkZEQ0YwNEMxNEVCMD" hidden="1">#REF!</definedName>
    <definedName name="bb_QkFDQTRCN0E4MjIxNDc4Rj" localSheetId="8" hidden="1">#REF!</definedName>
    <definedName name="bb_QkFDQTRCN0E4MjIxNDc4Rj" hidden="1">#REF!</definedName>
    <definedName name="bb_QkFDQUE1MkQyNjNGNDFGOE" localSheetId="8" hidden="1">#REF!</definedName>
    <definedName name="bb_QkFDQUE1MkQyNjNGNDFGOE" hidden="1">#REF!</definedName>
    <definedName name="bb_QkFGQzFDMjhGN0MyNDVCNE" localSheetId="8" hidden="1">#REF!</definedName>
    <definedName name="bb_QkFGQzFDMjhGN0MyNDVCNE" hidden="1">#REF!</definedName>
    <definedName name="bb_QkI0MTNERUNFMURBNDkwMj" localSheetId="8" hidden="1">#REF!</definedName>
    <definedName name="bb_QkI0MTNERUNFMURBNDkwMj" hidden="1">#REF!</definedName>
    <definedName name="bb_QkI3RUEwNEE4QkNBNDUzMz" localSheetId="8" hidden="1">#REF!</definedName>
    <definedName name="bb_QkI3RUEwNEE4QkNBNDUzMz" hidden="1">#REF!</definedName>
    <definedName name="bb_QkIwOUM0NDhBNkNFNDI3M0" localSheetId="8" hidden="1">#REF!</definedName>
    <definedName name="bb_QkIwOUM0NDhBNkNFNDI3M0" hidden="1">#REF!</definedName>
    <definedName name="bb_QkIyRDE5NTNCNTIyNENBMz" localSheetId="8" hidden="1">#REF!</definedName>
    <definedName name="bb_QkIyRDE5NTNCNTIyNENBMz" hidden="1">#REF!</definedName>
    <definedName name="bb_QkJFMEE0MkVCNDgyNEFEQk" localSheetId="8" hidden="1">#REF!</definedName>
    <definedName name="bb_QkJFMEE0MkVCNDgyNEFEQk" hidden="1">#REF!</definedName>
    <definedName name="bb_QkM5OTkzQTdBQjk0NEMyQU" localSheetId="8" hidden="1">#REF!</definedName>
    <definedName name="bb_QkM5OTkzQTdBQjk0NEMyQU" hidden="1">#REF!</definedName>
    <definedName name="bb_QkMwMTM3QkU5MERFNEE3Rk" localSheetId="8" hidden="1">#REF!</definedName>
    <definedName name="bb_QkMwMTM3QkU5MERFNEE3Rk" hidden="1">#REF!</definedName>
    <definedName name="bb_QkMwOTgxNDhDOUEwNDZDRj" localSheetId="8" hidden="1">#REF!</definedName>
    <definedName name="bb_QkMwOTgxNDhDOUEwNDZDRj" hidden="1">#REF!</definedName>
    <definedName name="bb_QkNFRjlBRUM0MkFDNEU0OT" hidden="1">'[12]HTA Drivers'!#REF!</definedName>
    <definedName name="bb_QkQ1QTM0NkY3MTU4NEQyMj" localSheetId="10" hidden="1">#REF!</definedName>
    <definedName name="bb_QkQ1QTM0NkY3MTU4NEQyMj" localSheetId="8" hidden="1">#REF!</definedName>
    <definedName name="bb_QkQ1QTM0NkY3MTU4NEQyMj" localSheetId="11" hidden="1">#REF!</definedName>
    <definedName name="bb_QkQ1QTM0NkY3MTU4NEQyMj" hidden="1">#REF!</definedName>
    <definedName name="bb_QkQ5MzQxMkVDMTQ0NDU5RT" localSheetId="10" hidden="1">#REF!</definedName>
    <definedName name="bb_QkQ5MzQxMkVDMTQ0NDU5RT" localSheetId="8" hidden="1">#REF!</definedName>
    <definedName name="bb_QkQ5MzQxMkVDMTQ0NDU5RT" localSheetId="11" hidden="1">#REF!</definedName>
    <definedName name="bb_QkQ5MzQxMkVDMTQ0NDU5RT" hidden="1">#REF!</definedName>
    <definedName name="bb_QkU3OEU3N0Y1OUQxNEU1QU" localSheetId="8" hidden="1">#REF!</definedName>
    <definedName name="bb_QkU3OEU3N0Y1OUQxNEU1QU" hidden="1">#REF!</definedName>
    <definedName name="bb_QkU3QTYwQjgwNjM4NEY4MD" localSheetId="8" hidden="1">#REF!</definedName>
    <definedName name="bb_QkU3QTYwQjgwNjM4NEY4MD" hidden="1">#REF!</definedName>
    <definedName name="bb_QkUyQjUzOEU2M0E3NDAxQz" localSheetId="8" hidden="1">#REF!</definedName>
    <definedName name="bb_QkUyQjUzOEU2M0E3NDAxQz" hidden="1">#REF!</definedName>
    <definedName name="bb_QkY1NUMzOTVEQjc1NERBNk" localSheetId="8" hidden="1">#REF!</definedName>
    <definedName name="bb_QkY1NUMzOTVEQjc1NERBNk" hidden="1">#REF!</definedName>
    <definedName name="bb_QkYxNDIzRUZFMDIzNDA5NT" localSheetId="8" hidden="1">#REF!</definedName>
    <definedName name="bb_QkYxNDIzRUZFMDIzNDA5NT" hidden="1">#REF!</definedName>
    <definedName name="bb_QkYzNzdBNTUxRjI5NDlDND" hidden="1">'[20]Component Units'!#REF!</definedName>
    <definedName name="bb_QTA1REFERUMxOEU0NEZDMz" localSheetId="10" hidden="1">#REF!</definedName>
    <definedName name="bb_QTA1REFERUMxOEU0NEZDMz" localSheetId="8" hidden="1">#REF!</definedName>
    <definedName name="bb_QTA1REFERUMxOEU0NEZDMz" localSheetId="11" hidden="1">#REF!</definedName>
    <definedName name="bb_QTA1REFERUMxOEU0NEZDMz" hidden="1">#REF!</definedName>
    <definedName name="bb_QTA2Mzg5MUUwQkRBNDJENz" localSheetId="10" hidden="1">#REF!</definedName>
    <definedName name="bb_QTA2Mzg5MUUwQkRBNDJENz" localSheetId="8" hidden="1">#REF!</definedName>
    <definedName name="bb_QTA2Mzg5MUUwQkRBNDJENz" localSheetId="11" hidden="1">#REF!</definedName>
    <definedName name="bb_QTA2Mzg5MUUwQkRBNDJENz" hidden="1">#REF!</definedName>
    <definedName name="bb_QTA5RTI4ODEyMkQ1NDA0Q0" localSheetId="8" hidden="1">#REF!</definedName>
    <definedName name="bb_QTA5RTI4ODEyMkQ1NDA0Q0" hidden="1">#REF!</definedName>
    <definedName name="bb_QTBDNjg2OTY0NEUzNDY0OU" localSheetId="8" hidden="1">#REF!</definedName>
    <definedName name="bb_QTBDNjg2OTY0NEUzNDY0OU" hidden="1">#REF!</definedName>
    <definedName name="bb_QTc1MDIwM0Q0NDMxNEI1ND" localSheetId="8" hidden="1">#REF!</definedName>
    <definedName name="bb_QTc1MDIwM0Q0NDMxNEI1ND" hidden="1">#REF!</definedName>
    <definedName name="bb_QTdFQURFNjEwNjg4NEU4NT" localSheetId="8" hidden="1">#REF!</definedName>
    <definedName name="bb_QTdFQURFNjEwNjg4NEU4NT" hidden="1">#REF!</definedName>
    <definedName name="bb_QTE3NThCQjVGMjBENDlDNz" localSheetId="8" hidden="1">#REF!</definedName>
    <definedName name="bb_QTE3NThCQjVGMjBENDlDNz" hidden="1">#REF!</definedName>
    <definedName name="bb_QTE4MTI0MDgxRjRCNDREMj" localSheetId="8" hidden="1">#REF!</definedName>
    <definedName name="bb_QTE4MTI0MDgxRjRCNDREMj" hidden="1">#REF!</definedName>
    <definedName name="bb_QTEyQTg4QkVDMURDNDI1MT" localSheetId="8" hidden="1">#REF!</definedName>
    <definedName name="bb_QTEyQTg4QkVDMURDNDI1MT" hidden="1">#REF!</definedName>
    <definedName name="bb_QTFGQUU4MjQ3RjRENDZFOE" localSheetId="8" hidden="1">#REF!</definedName>
    <definedName name="bb_QTFGQUU4MjQ3RjRENDZFOE" hidden="1">#REF!</definedName>
    <definedName name="bb_QThEQjA1MDFDMDk1NEJGNk" localSheetId="8" hidden="1">#REF!</definedName>
    <definedName name="bb_QThEQjA1MDFDMDk1NEJGNk" hidden="1">#REF!</definedName>
    <definedName name="bb_QTIyQzgzNzFCM0U5NDhDQU" localSheetId="8" hidden="1">#REF!</definedName>
    <definedName name="bb_QTIyQzgzNzFCM0U5NDhDQU" hidden="1">#REF!</definedName>
    <definedName name="bb_QTk5NUQ5MkY4MjJGNEI2OE" localSheetId="8" hidden="1">#REF!</definedName>
    <definedName name="bb_QTk5NUQ5MkY4MjJGNEI2OE" hidden="1">#REF!</definedName>
    <definedName name="bb_QTkyRTg5QTA1QTFENDJBOE" localSheetId="8" hidden="1">#REF!</definedName>
    <definedName name="bb_QTkyRTg5QTA1QTFENDJBOE" hidden="1">#REF!</definedName>
    <definedName name="bb_QTRFRDY5OEEyQzA5NEIwQj" localSheetId="8" hidden="1">#REF!</definedName>
    <definedName name="bb_QTRFRDY5OEEyQzA5NEIwQj" hidden="1">#REF!</definedName>
    <definedName name="bb_QTU2RDIzRkFGQTJBNDQzNU" localSheetId="8" hidden="1">#REF!</definedName>
    <definedName name="bb_QTU2RDIzRkFGQTJBNDQzNU" hidden="1">#REF!</definedName>
    <definedName name="bb_QTZGMzFCNTAzNEU3NDgwQT" hidden="1">'[13]Base and Growth PVs'!#REF!</definedName>
    <definedName name="bb_QUE2MDZDMDA4NUJENDAxMk" localSheetId="10" hidden="1">#REF!</definedName>
    <definedName name="bb_QUE2MDZDMDA4NUJENDAxMk" localSheetId="8" hidden="1">#REF!</definedName>
    <definedName name="bb_QUE2MDZDMDA4NUJENDAxMk" localSheetId="11" hidden="1">#REF!</definedName>
    <definedName name="bb_QUE2MDZDMDA4NUJENDAxMk" hidden="1">#REF!</definedName>
    <definedName name="bb_QUEwMUJGRjAwM0ExNEUzNz" localSheetId="10" hidden="1">#REF!</definedName>
    <definedName name="bb_QUEwMUJGRjAwM0ExNEUzNz" localSheetId="8" hidden="1">#REF!</definedName>
    <definedName name="bb_QUEwMUJGRjAwM0ExNEUzNz" localSheetId="11" hidden="1">#REF!</definedName>
    <definedName name="bb_QUEwMUJGRjAwM0ExNEUzNz" hidden="1">#REF!</definedName>
    <definedName name="bb_QUEyQTdFRjE0QzA3NDZBNz" localSheetId="8" hidden="1">#REF!</definedName>
    <definedName name="bb_QUEyQTdFRjE0QzA3NDZBNz" hidden="1">#REF!</definedName>
    <definedName name="bb_QUEyQzI3RDFERTA2NDBBMU" localSheetId="8" hidden="1">#REF!</definedName>
    <definedName name="bb_QUEyQzI3RDFERTA2NDBBMU" hidden="1">#REF!</definedName>
    <definedName name="bb_QUJBNUNCQjI0Q0NENDVDMj" localSheetId="8" hidden="1">#REF!</definedName>
    <definedName name="bb_QUJBNUNCQjI0Q0NENDVDMj" hidden="1">#REF!</definedName>
    <definedName name="bb_QUJEMTYyNzlEQUNBNEMwM0" localSheetId="8" hidden="1">#REF!</definedName>
    <definedName name="bb_QUJEMTYyNzlEQUNBNEMwM0" hidden="1">#REF!</definedName>
    <definedName name="bb_QUM2MEU3NzMyRDI5NDUyNE" localSheetId="8" hidden="1">#REF!</definedName>
    <definedName name="bb_QUM2MEU3NzMyRDI5NDUyNE" hidden="1">#REF!</definedName>
    <definedName name="bb_QUNEOEI2MDg5N0U5NEMzOD" localSheetId="8" hidden="1">#REF!</definedName>
    <definedName name="bb_QUNEOEI2MDg5N0U5NEMzOD" hidden="1">#REF!</definedName>
    <definedName name="bb_QUQ2RkZDOUQ0MTkyNDQ3NE" localSheetId="8" hidden="1">#REF!</definedName>
    <definedName name="bb_QUQ2RkZDOUQ0MTkyNDQ3NE" hidden="1">#REF!</definedName>
    <definedName name="bb_QUQxMTEzQ0MxNkE1NDE2Mk" localSheetId="8" hidden="1">#REF!</definedName>
    <definedName name="bb_QUQxMTEzQ0MxNkE1NDE2Mk" hidden="1">#REF!</definedName>
    <definedName name="bb_QURFQkUwNTcwMDMzNDA3QT" localSheetId="8" hidden="1">#REF!</definedName>
    <definedName name="bb_QURFQkUwNTcwMDMzNDA3QT" hidden="1">#REF!</definedName>
    <definedName name="bb_QUU4MzJFMzM4MUM4NDA5ME" localSheetId="8" hidden="1">#REF!</definedName>
    <definedName name="bb_QUU4MzJFMzM4MUM4NDA5ME" hidden="1">#REF!</definedName>
    <definedName name="bb_QUY2ODVDQTIxRTUzNDNDMU" localSheetId="8" hidden="1">#REF!</definedName>
    <definedName name="bb_QUY2ODVDQTIxRTUzNDNDMU" hidden="1">#REF!</definedName>
    <definedName name="bb_QUY5QTk2MkMwQTc5NEQ3Q0" localSheetId="8" hidden="1">#REF!</definedName>
    <definedName name="bb_QUY5QTk2MkMwQTc5NEQ3Q0" hidden="1">#REF!</definedName>
    <definedName name="bb_QzA0NTRFODFCNEVFNDFGRj" localSheetId="8" hidden="1">#REF!</definedName>
    <definedName name="bb_QzA0NTRFODFCNEVFNDFGRj" hidden="1">#REF!</definedName>
    <definedName name="bb_QzAzODhBMjQyMkUzNEYwN0" localSheetId="8" hidden="1">#REF!</definedName>
    <definedName name="bb_QzAzODhBMjQyMkUzNEYwN0" hidden="1">#REF!</definedName>
    <definedName name="bb_QzBCQTU0M0U2MDM2NDlGND" localSheetId="8" hidden="1">#REF!</definedName>
    <definedName name="bb_QzBCQTU0M0U2MDM2NDlGND" hidden="1">#REF!</definedName>
    <definedName name="bb_Qzc1MjZFQ0VCNTRCNDI1OD" hidden="1">'[19]Debt Service Summary'!#REF!</definedName>
    <definedName name="bb_QzFENUI3MUM5NENENEZGQj" localSheetId="10" hidden="1">#REF!</definedName>
    <definedName name="bb_QzFENUI3MUM5NENENEZGQj" localSheetId="8" hidden="1">#REF!</definedName>
    <definedName name="bb_QzFENUI3MUM5NENENEZGQj" localSheetId="11" hidden="1">#REF!</definedName>
    <definedName name="bb_QzFENUI3MUM5NENENEZGQj" hidden="1">#REF!</definedName>
    <definedName name="bb_Qzg4ODhDQzlDQTkwNEE2Qj" localSheetId="10" hidden="1">#REF!</definedName>
    <definedName name="bb_Qzg4ODhDQzlDQTkwNEE2Qj" localSheetId="8" hidden="1">#REF!</definedName>
    <definedName name="bb_Qzg4ODhDQzlDQTkwNEE2Qj" localSheetId="11" hidden="1">#REF!</definedName>
    <definedName name="bb_Qzg4ODhDQzlDQTkwNEE2Qj" hidden="1">#REF!</definedName>
    <definedName name="bb_QzgwOTdDODczRkQ5NEQ1Mz" localSheetId="8" hidden="1">#REF!</definedName>
    <definedName name="bb_QzgwOTdDODczRkQ5NEQ1Mz" hidden="1">#REF!</definedName>
    <definedName name="bb_QzI4NkZGRjBDRjNGNEQwOD" localSheetId="8" hidden="1">#REF!</definedName>
    <definedName name="bb_QzI4NkZGRjBDRjNGNEQwOD" hidden="1">#REF!</definedName>
    <definedName name="bb_QzJBRDVBNzhCMjM0NENCQz" localSheetId="8" hidden="1">#REF!</definedName>
    <definedName name="bb_QzJBRDVBNzhCMjM0NENCQz" hidden="1">#REF!</definedName>
    <definedName name="bb_Qzk4QkM5QkYxRTQxNEYzNk" localSheetId="8" hidden="1">#REF!</definedName>
    <definedName name="bb_Qzk4QkM5QkYxRTQxNEYzNk" hidden="1">#REF!</definedName>
    <definedName name="bb_QzkzQjhCNUQ0OUFGNEQ4NT" localSheetId="8" hidden="1">#REF!</definedName>
    <definedName name="bb_QzkzQjhCNUQ0OUFGNEQ4NT" hidden="1">#REF!</definedName>
    <definedName name="bb_QzMyMUJCQTMxQTBGNDBGQT" localSheetId="8" hidden="1">#REF!</definedName>
    <definedName name="bb_QzMyMUJCQTMxQTBGNDBGQT" hidden="1">#REF!</definedName>
    <definedName name="bb_QzRFMDUzNUIxQkZGNDExNk" localSheetId="8" hidden="1">#REF!</definedName>
    <definedName name="bb_QzRFMDUzNUIxQkZGNDExNk" hidden="1">#REF!</definedName>
    <definedName name="bb_QzRFNTEyODZEQUExNDlEQk" localSheetId="8" hidden="1">#REF!</definedName>
    <definedName name="bb_QzRFNTEyODZEQUExNDlEQk" hidden="1">#REF!</definedName>
    <definedName name="bb_QzY3NkZCNTdCNjQ2NDkzND" localSheetId="8" hidden="1">#REF!</definedName>
    <definedName name="bb_QzY3NkZCNTdCNjQ2NDkzND" hidden="1">#REF!</definedName>
    <definedName name="bb_QzY4MTBBM0FCN0YwNDY4Mz" localSheetId="8" hidden="1">#REF!</definedName>
    <definedName name="bb_QzY4MTBBM0FCN0YwNDY4Mz" hidden="1">#REF!</definedName>
    <definedName name="bb_QzY4NDlGRURDQ0RENEI4M0" localSheetId="8" hidden="1">#REF!</definedName>
    <definedName name="bb_QzY4NDlGRURDQ0RENEI4M0" hidden="1">#REF!</definedName>
    <definedName name="bb_QzYzMUVEMTRBRTkwNDNBRE" localSheetId="8" hidden="1">#REF!</definedName>
    <definedName name="bb_QzYzMUVEMTRBRTkwNDNBRE" hidden="1">#REF!</definedName>
    <definedName name="bb_QzZENzNERjMyOEUyNDhBM0" localSheetId="8" hidden="1">#REF!</definedName>
    <definedName name="bb_QzZENzNERjMyOEUyNDhBM0" hidden="1">#REF!</definedName>
    <definedName name="bb_QzZEQ0NEMkFEODRFNDVENz" localSheetId="8" hidden="1">#REF!</definedName>
    <definedName name="bb_QzZEQ0NEMkFEODRFNDVENz" hidden="1">#REF!</definedName>
    <definedName name="bb_RDA3N0FFMUJEQjY5NDYyQU" localSheetId="8" hidden="1">#REF!</definedName>
    <definedName name="bb_RDA3N0FFMUJEQjY5NDYyQU" hidden="1">#REF!</definedName>
    <definedName name="bb_RDc1Mjg3ODYxNDFENEIzNz" localSheetId="8" hidden="1">#REF!</definedName>
    <definedName name="bb_RDc1Mjg3ODYxNDFENEIzNz" hidden="1">#REF!</definedName>
    <definedName name="bb_RDc1NUNEQTg3MzNBNDJBRD" localSheetId="8" hidden="1">#REF!</definedName>
    <definedName name="bb_RDc1NUNEQTg3MzNBNDJBRD" hidden="1">#REF!</definedName>
    <definedName name="bb_RDc3NTBEOEI2NTM4NDMyNk" localSheetId="8" hidden="1">#REF!</definedName>
    <definedName name="bb_RDc3NTBEOEI2NTM4NDMyNk" hidden="1">#REF!</definedName>
    <definedName name="bb_RDFBRjUyQ0I3RkFBNDA3Rk" localSheetId="8" hidden="1">#REF!</definedName>
    <definedName name="bb_RDFBRjUyQ0I3RkFBNDA3Rk" hidden="1">#REF!</definedName>
    <definedName name="bb_RDgzNzgzRkFEQjM0NDAzMD" localSheetId="8" hidden="1">#REF!</definedName>
    <definedName name="bb_RDgzNzgzRkFEQjM0NDAzMD" hidden="1">#REF!</definedName>
    <definedName name="bb_RDhDQTRGNzkwMDAyNEEzOU" localSheetId="8" hidden="1">#REF!</definedName>
    <definedName name="bb_RDhDQTRGNzkwMDAyNEEzOU" hidden="1">#REF!</definedName>
    <definedName name="bb_RDI2RTM3NzMwOTE0NEUxQk" localSheetId="8" hidden="1">#REF!</definedName>
    <definedName name="bb_RDI2RTM3NzMwOTE0NEUxQk" hidden="1">#REF!</definedName>
    <definedName name="bb_RDJGRTU4RUY0M0U0NEFGMk" localSheetId="8" hidden="1">#REF!</definedName>
    <definedName name="bb_RDJGRTU4RUY0M0U0NEFGMk" hidden="1">#REF!</definedName>
    <definedName name="bb_RDk2MkI3MDc5MEI2NDlBRj" hidden="1">[16]Savings!#REF!</definedName>
    <definedName name="bb_RDk3QjZFQ0M1MkFFNDFDQk" hidden="1">'[13]Base and Growth PVs'!#REF!</definedName>
    <definedName name="bb_RDk4MzI2MDE1N0NENEQxN0" localSheetId="10" hidden="1">#REF!</definedName>
    <definedName name="bb_RDk4MzI2MDE1N0NENEQxN0" localSheetId="8" hidden="1">#REF!</definedName>
    <definedName name="bb_RDk4MzI2MDE1N0NENEQxN0" localSheetId="11" hidden="1">#REF!</definedName>
    <definedName name="bb_RDk4MzI2MDE1N0NENEQxN0" hidden="1">#REF!</definedName>
    <definedName name="bb_RDk5NTdGNDQzRkMxNDYzNE" localSheetId="10" hidden="1">#REF!</definedName>
    <definedName name="bb_RDk5NTdGNDQzRkMxNDYzNE" localSheetId="8" hidden="1">#REF!</definedName>
    <definedName name="bb_RDk5NTdGNDQzRkMxNDYzNE" localSheetId="11" hidden="1">#REF!</definedName>
    <definedName name="bb_RDk5NTdGNDQzRkMxNDYzNE" hidden="1">#REF!</definedName>
    <definedName name="bb_RDlFMTI0Q0I1ODJFNEY5NE" localSheetId="8" hidden="1">#REF!</definedName>
    <definedName name="bb_RDlFMTI0Q0I1ODJFNEY5NE" hidden="1">#REF!</definedName>
    <definedName name="bb_RDMyRjg4N0MyODNGNDBGNT" localSheetId="8" hidden="1">#REF!</definedName>
    <definedName name="bb_RDMyRjg4N0MyODNGNDBGNT" hidden="1">#REF!</definedName>
    <definedName name="bb_RDNFNTc4RDZFRDUzNDg5NU" localSheetId="8" hidden="1">#REF!</definedName>
    <definedName name="bb_RDNFNTc4RDZFRDUzNDg5NU" hidden="1">#REF!</definedName>
    <definedName name="bb_RDQ1MkM1RDQxOEUyNENEMU" localSheetId="8" hidden="1">#REF!</definedName>
    <definedName name="bb_RDQ1MkM1RDQxOEUyNENEMU" hidden="1">#REF!</definedName>
    <definedName name="bb_RDQ4MDQ5REYyOTRDNDREMU" localSheetId="8" hidden="1">#REF!</definedName>
    <definedName name="bb_RDQ4MDQ5REYyOTRDNDREMU" hidden="1">#REF!</definedName>
    <definedName name="bb_RDQ4MDUxRTg0RTMzNEFGQk" localSheetId="8" hidden="1">#REF!</definedName>
    <definedName name="bb_RDQ4MDUxRTg0RTMzNEFGQk" hidden="1">#REF!</definedName>
    <definedName name="bb_RDQyMTcxMDkzM0RCNDA1Qk" localSheetId="8" hidden="1">#REF!</definedName>
    <definedName name="bb_RDQyMTcxMDkzM0RCNDA1Qk" hidden="1">#REF!</definedName>
    <definedName name="bb_RDQyNzgxQ0FGNjc1NDVFOE" localSheetId="8" hidden="1">#REF!</definedName>
    <definedName name="bb_RDQyNzgxQ0FGNjc1NDVFOE" hidden="1">#REF!</definedName>
    <definedName name="bb_RDRDNzM4NTZFN0E5NDRFRU" localSheetId="8" hidden="1">#REF!</definedName>
    <definedName name="bb_RDRDNzM4NTZFN0E5NDRFRU" hidden="1">#REF!</definedName>
    <definedName name="bb_RDUwNDI3OUY2OTFDNDgwNj" localSheetId="8" hidden="1">#REF!</definedName>
    <definedName name="bb_RDUwNDI3OUY2OTFDNDgwNj" hidden="1">#REF!</definedName>
    <definedName name="bb_RDUxNzVBRkU1OEQ1NDE3Nz" localSheetId="8" hidden="1">#REF!</definedName>
    <definedName name="bb_RDUxNzVBRkU1OEQ1NDE3Nz" hidden="1">#REF!</definedName>
    <definedName name="bb_RDY1QkVFNDREN0E4NDMwOT" localSheetId="8" hidden="1">#REF!</definedName>
    <definedName name="bb_RDY1QkVFNDREN0E4NDMwOT" hidden="1">#REF!</definedName>
    <definedName name="bb_RDZBREU4RjQ3RDg3NDU2Qk" localSheetId="8" hidden="1">#REF!</definedName>
    <definedName name="bb_RDZBREU4RjQ3RDg3NDU2Qk" hidden="1">#REF!</definedName>
    <definedName name="bb_RDZFMzk0QUVCQTlCNEY3Q0" localSheetId="8" hidden="1">#REF!</definedName>
    <definedName name="bb_RDZFMzk0QUVCQTlCNEY3Q0" hidden="1">#REF!</definedName>
    <definedName name="bb_RDZGNkRGNTA3NjdENEVEMT" localSheetId="8" hidden="1">#REF!</definedName>
    <definedName name="bb_RDZGNkRGNTA3NjdENEVEMT" hidden="1">#REF!</definedName>
    <definedName name="bb_REE1RTU3RUREMjY5NDZEQT" localSheetId="8" hidden="1">#REF!</definedName>
    <definedName name="bb_REE1RTU3RUREMjY5NDZEQT" hidden="1">#REF!</definedName>
    <definedName name="bb_REFBQkMyNDI2Mzc1NDI3M0" localSheetId="8" hidden="1">#REF!</definedName>
    <definedName name="bb_REFBQkMyNDI2Mzc1NDI3M0" hidden="1">#REF!</definedName>
    <definedName name="bb_REI1OURDRUUyQkFENDUwOD" localSheetId="8" hidden="1">#REF!</definedName>
    <definedName name="bb_REI1OURDRUUyQkFENDUwOD" hidden="1">#REF!</definedName>
    <definedName name="bb_REMxMjVCMUNBMzFDNDdEQj" localSheetId="8" hidden="1">#REF!</definedName>
    <definedName name="bb_REMxMjVCMUNBMzFDNDdEQj" hidden="1">#REF!</definedName>
    <definedName name="bb_REMzMUE5RjM1RjU2NDIxMD" localSheetId="8" hidden="1">#REF!</definedName>
    <definedName name="bb_REMzMUE5RjM1RjU2NDIxMD" hidden="1">#REF!</definedName>
    <definedName name="bb_RENFMEY4N0YyRjczNDE2QU" localSheetId="8" hidden="1">#REF!</definedName>
    <definedName name="bb_RENFMEY4N0YyRjczNDE2QU" hidden="1">#REF!</definedName>
    <definedName name="bb_REQzN0RGQzdGODlGNDEzNE" localSheetId="8" hidden="1">#REF!</definedName>
    <definedName name="bb_REQzN0RGQzdGODlGNDEzNE" hidden="1">#REF!</definedName>
    <definedName name="bb_REQzQzMzMEQzRjQ0NDZENU" localSheetId="8" hidden="1">#REF!</definedName>
    <definedName name="bb_REQzQzMzMEQzRjQ0NDZENU" hidden="1">#REF!</definedName>
    <definedName name="bb_REU1RkJGNzFDNEQ5NEMzRD" localSheetId="8" hidden="1">#REF!</definedName>
    <definedName name="bb_REU1RkJGNzFDNEQ5NEMzRD" hidden="1">#REF!</definedName>
    <definedName name="bb_REU3NzU0NjVFRUQ2NDQ4RE" localSheetId="8" hidden="1">#REF!</definedName>
    <definedName name="bb_REU3NzU0NjVFRUQ2NDQ4RE" hidden="1">#REF!</definedName>
    <definedName name="bb_REUyRTgyMUREMTkxNEExQz" localSheetId="8" hidden="1">#REF!</definedName>
    <definedName name="bb_REUyRTgyMUREMTkxNEExQz" hidden="1">#REF!</definedName>
    <definedName name="bb_REY3NTlFQkIwOTkxNDA0ND" localSheetId="8" hidden="1">#REF!</definedName>
    <definedName name="bb_REY3NTlFQkIwOTkxNDA0ND" hidden="1">#REF!</definedName>
    <definedName name="bb_REZCNUYyQUJDQUQ2NEVERE" localSheetId="8" hidden="1">#REF!</definedName>
    <definedName name="bb_REZCNUYyQUJDQUQ2NEVERE" hidden="1">#REF!</definedName>
    <definedName name="bb_RjA1MzJERjcyQUMwNDFFQz" localSheetId="8" hidden="1">#REF!</definedName>
    <definedName name="bb_RjA1MzJERjcyQUMwNDFFQz" hidden="1">#REF!</definedName>
    <definedName name="bb_RjE0RDk3Q0MyMDZCNDRENj" localSheetId="8" hidden="1">#REF!</definedName>
    <definedName name="bb_RjE0RDk3Q0MyMDZCNDRENj" hidden="1">#REF!</definedName>
    <definedName name="bb_RjE2Qjc0M0RCRjQ3NDkzRE" localSheetId="8" hidden="1">#REF!</definedName>
    <definedName name="bb_RjE2Qjc0M0RCRjQ3NDkzRE" hidden="1">#REF!</definedName>
    <definedName name="bb_RjFBRjkzQTE3ODgzNDgwMk" localSheetId="8" hidden="1">#REF!</definedName>
    <definedName name="bb_RjFBRjkzQTE3ODgzNDgwMk" hidden="1">#REF!</definedName>
    <definedName name="bb_Rjg3Njc2MzFDMDBBNDVBQ0" localSheetId="8" hidden="1">#REF!</definedName>
    <definedName name="bb_Rjg3Njc2MzFDMDBBNDVBQ0" hidden="1">#REF!</definedName>
    <definedName name="bb_RjJEODI3MjBDNzFFNDdFNj" localSheetId="8" hidden="1">#REF!</definedName>
    <definedName name="bb_RjJEODI3MjBDNzFFNDdFNj" hidden="1">#REF!</definedName>
    <definedName name="bb_Rjk4MTYyNzczRkU1NDJFRT" localSheetId="8" hidden="1">#REF!</definedName>
    <definedName name="bb_Rjk4MTYyNzczRkU1NDJFRT" hidden="1">#REF!</definedName>
    <definedName name="bb_RjlBMDY2OTU0NDU0NEU2Mj" localSheetId="8" hidden="1">#REF!</definedName>
    <definedName name="bb_RjlBMDY2OTU0NDU0NEU2Mj" hidden="1">#REF!</definedName>
    <definedName name="bb_RjlBMTQzNDBEM0ZGNEQxOT" localSheetId="8" hidden="1">#REF!</definedName>
    <definedName name="bb_RjlBMTQzNDBEM0ZGNEQxOT" hidden="1">#REF!</definedName>
    <definedName name="bb_RjlCNTBGNUY1OUNENDI3Mj" localSheetId="8" hidden="1">#REF!</definedName>
    <definedName name="bb_RjlCNTBGNUY1OUNENDI3Mj" hidden="1">#REF!</definedName>
    <definedName name="bb_RjlDQ0EzN0Y0NDk5NDk1Q0" localSheetId="8" hidden="1">#REF!</definedName>
    <definedName name="bb_RjlDQ0EzN0Y0NDk5NDk1Q0" hidden="1">#REF!</definedName>
    <definedName name="bb_RjNCRTEwMzI2NUEzNDIzRU" localSheetId="8" hidden="1">#REF!</definedName>
    <definedName name="bb_RjNCRTEwMzI2NUEzNDIzRU" hidden="1">#REF!</definedName>
    <definedName name="bb_RjNENjE5MkRFMEYwNDIyQU" localSheetId="8" hidden="1">#REF!</definedName>
    <definedName name="bb_RjNENjE5MkRFMEYwNDIyQU" hidden="1">#REF!</definedName>
    <definedName name="bb_RjNERjc1NUU0N0IxNEJBND" localSheetId="8" hidden="1">#REF!</definedName>
    <definedName name="bb_RjNERjc1NUU0N0IxNEJBND" hidden="1">#REF!</definedName>
    <definedName name="bb_RjQ2QTU3RDkzRDJENEQ5Qk" hidden="1">[21]Bridge!#REF!</definedName>
    <definedName name="bb_RjRGRURGNkU0MDhENDc2OT" localSheetId="10" hidden="1">#REF!</definedName>
    <definedName name="bb_RjRGRURGNkU0MDhENDc2OT" localSheetId="8" hidden="1">#REF!</definedName>
    <definedName name="bb_RjRGRURGNkU0MDhENDc2OT" localSheetId="11" hidden="1">#REF!</definedName>
    <definedName name="bb_RjRGRURGNkU0MDhENDc2OT" hidden="1">#REF!</definedName>
    <definedName name="bb_RjUxQzEyOEZDMkYyNDhDQU" localSheetId="10" hidden="1">[9]CapEx!#REF!</definedName>
    <definedName name="bb_RjUxQzEyOEZDMkYyNDhDQU" localSheetId="8" hidden="1">[9]CapEx!#REF!</definedName>
    <definedName name="bb_RjUxQzEyOEZDMkYyNDhDQU" localSheetId="11" hidden="1">[9]CapEx!#REF!</definedName>
    <definedName name="bb_RjUxQzEyOEZDMkYyNDhDQU" hidden="1">[9]CapEx!#REF!</definedName>
    <definedName name="bb_RjY4MjI4NkQ5NTdENDA1MU" localSheetId="10" hidden="1">#REF!</definedName>
    <definedName name="bb_RjY4MjI4NkQ5NTdENDA1MU" localSheetId="8" hidden="1">#REF!</definedName>
    <definedName name="bb_RjY4MjI4NkQ5NTdENDA1MU" localSheetId="11" hidden="1">#REF!</definedName>
    <definedName name="bb_RjY4MjI4NkQ5NTdENDA1MU" hidden="1">#REF!</definedName>
    <definedName name="bb_RjY4NjkyMEZEOTg2NDZBMz" localSheetId="10" hidden="1">#REF!</definedName>
    <definedName name="bb_RjY4NjkyMEZEOTg2NDZBMz" localSheetId="8" hidden="1">#REF!</definedName>
    <definedName name="bb_RjY4NjkyMEZEOTg2NDZBMz" localSheetId="11" hidden="1">#REF!</definedName>
    <definedName name="bb_RjY4NjkyMEZEOTg2NDZBMz" hidden="1">#REF!</definedName>
    <definedName name="bb_RjYwNkE0M0E3ODQ5NDhBMj" localSheetId="8" hidden="1">#REF!</definedName>
    <definedName name="bb_RjYwNkE0M0E3ODQ5NDhBMj" hidden="1">#REF!</definedName>
    <definedName name="bb_RjYzQjk2OUUwMzgyNEUyQU" localSheetId="8" hidden="1">#REF!</definedName>
    <definedName name="bb_RjYzQjk2OUUwMzgyNEUyQU" hidden="1">#REF!</definedName>
    <definedName name="bb_RjZDQTFCMEJCQzkxNDE4OD" localSheetId="8" hidden="1">#REF!</definedName>
    <definedName name="bb_RjZDQTFCMEJCQzkxNDE4OD" hidden="1">#REF!</definedName>
    <definedName name="bb_RkE3MkY0RjZFNTAyNDA3Nz" localSheetId="8" hidden="1">#REF!</definedName>
    <definedName name="bb_RkE3MkY0RjZFNTAyNDA3Nz" hidden="1">#REF!</definedName>
    <definedName name="bb_RkE3MUUwNENCQzRCNDY1Qk" localSheetId="8" hidden="1">#REF!</definedName>
    <definedName name="bb_RkE3MUUwNENCQzRCNDY1Qk" hidden="1">#REF!</definedName>
    <definedName name="bb_RkI0NDhFQzI4RDkzNEEyRT" localSheetId="8" hidden="1">#REF!</definedName>
    <definedName name="bb_RkI0NDhFQzI4RDkzNEEyRT" hidden="1">#REF!</definedName>
    <definedName name="bb_RkI4QkI0QjkwOThBNDlBNU" localSheetId="8" hidden="1">#REF!</definedName>
    <definedName name="bb_RkI4QkI0QjkwOThBNDlBNU" hidden="1">#REF!</definedName>
    <definedName name="bb_RkI5MkUzMzdCNTA2NDE3Rk" localSheetId="8" hidden="1">#REF!</definedName>
    <definedName name="bb_RkI5MkUzMzdCNTA2NDE3Rk" hidden="1">#REF!</definedName>
    <definedName name="bb_RkIyN0ExNTZEMzZDNDYyRU" localSheetId="8" hidden="1">#REF!</definedName>
    <definedName name="bb_RkIyN0ExNTZEMzZDNDYyRU" hidden="1">#REF!</definedName>
    <definedName name="bb_RkNGNTA3NUQ3MEU2NDhDME" hidden="1">[9]CapEx!#REF!</definedName>
    <definedName name="bb_RkQyRkU1Q0NDMzQ1NDkzMT" localSheetId="10" hidden="1">#REF!</definedName>
    <definedName name="bb_RkQyRkU1Q0NDMzQ1NDkzMT" localSheetId="8" hidden="1">#REF!</definedName>
    <definedName name="bb_RkQyRkU1Q0NDMzQ1NDkzMT" localSheetId="11" hidden="1">#REF!</definedName>
    <definedName name="bb_RkQyRkU1Q0NDMzQ1NDkzMT" hidden="1">#REF!</definedName>
    <definedName name="bb_RkQzQzRBOTI3MDQ3NEYzRT" localSheetId="10" hidden="1">#REF!</definedName>
    <definedName name="bb_RkQzQzRBOTI3MDQ3NEYzRT" localSheetId="8" hidden="1">#REF!</definedName>
    <definedName name="bb_RkQzQzRBOTI3MDQ3NEYzRT" localSheetId="11" hidden="1">#REF!</definedName>
    <definedName name="bb_RkQzQzRBOTI3MDQ3NEYzRT" hidden="1">#REF!</definedName>
    <definedName name="bb_RkRBMjcxRjY1NkM4NDExRU" localSheetId="8" hidden="1">#REF!</definedName>
    <definedName name="bb_RkRBMjcxRjY1NkM4NDExRU" hidden="1">#REF!</definedName>
    <definedName name="bb_RkU4MjMzRjhDNEQwNEYyM0" hidden="1">'[12]HTA Drivers'!#REF!</definedName>
    <definedName name="bb_RkVFNjJGQTY3NjI4NEIyRD" localSheetId="10" hidden="1">#REF!</definedName>
    <definedName name="bb_RkVFNjJGQTY3NjI4NEIyRD" localSheetId="8" hidden="1">#REF!</definedName>
    <definedName name="bb_RkVFNjJGQTY3NjI4NEIyRD" localSheetId="11" hidden="1">#REF!</definedName>
    <definedName name="bb_RkVFNjJGQTY3NjI4NEIyRD" hidden="1">#REF!</definedName>
    <definedName name="bb_RkVGOTEyRDg3QTk1NEMwQT" localSheetId="8" hidden="1">#REF!</definedName>
    <definedName name="bb_RkVGOTEyRDg3QTk1NEMwQT" hidden="1">#REF!</definedName>
    <definedName name="bb_RkY3QUE0NDU4MDhGNENGNk" localSheetId="8" hidden="1">#REF!</definedName>
    <definedName name="bb_RkY3QUE0NDU4MDhGNENGNk" hidden="1">#REF!</definedName>
    <definedName name="bb_RTA3MkJBOTU5MEFGNDFCRT" localSheetId="8" hidden="1">#REF!</definedName>
    <definedName name="bb_RTA3MkJBOTU5MEFGNDFCRT" hidden="1">#REF!</definedName>
    <definedName name="bb_RTA4Q0E5NzdCNjIwNDVGRE" localSheetId="8" hidden="1">#REF!</definedName>
    <definedName name="bb_RTA4Q0E5NzdCNjIwNDVGRE" hidden="1">#REF!</definedName>
    <definedName name="bb_RTA4Qzc0QzQ5REQyNEIwRU" localSheetId="8" hidden="1">#REF!</definedName>
    <definedName name="bb_RTA4Qzc0QzQ5REQyNEIwRU" hidden="1">#REF!</definedName>
    <definedName name="bb_RTA4RjNEQTk3MDRGNEQzRT" localSheetId="8" hidden="1">#REF!</definedName>
    <definedName name="bb_RTA4RjNEQTk3MDRGNEQzRT" hidden="1">#REF!</definedName>
    <definedName name="bb_RTAxMEQzREI3NDMwNEZGNj" localSheetId="8" hidden="1">#REF!</definedName>
    <definedName name="bb_RTAxMEQzREI3NDMwNEZGNj" hidden="1">#REF!</definedName>
    <definedName name="bb_RTAyMzE3MENCMjAxNEY1RT" localSheetId="8" hidden="1">#REF!</definedName>
    <definedName name="bb_RTAyMzE3MENCMjAxNEY1RT" hidden="1">#REF!</definedName>
    <definedName name="bb_RTBEN0ZERDRFOEQ0NEFBQU" localSheetId="8" hidden="1">#REF!</definedName>
    <definedName name="bb_RTBEN0ZERDRFOEQ0NEFBQU" hidden="1">#REF!</definedName>
    <definedName name="bb_RTc4RENGODdEMEMyNDVDQ0" hidden="1">'[12]HTA Drivers'!#REF!</definedName>
    <definedName name="bb_RTcxMkMzMTQ4OTUzNDBFRk" localSheetId="10" hidden="1">#REF!</definedName>
    <definedName name="bb_RTcxMkMzMTQ4OTUzNDBFRk" localSheetId="8" hidden="1">#REF!</definedName>
    <definedName name="bb_RTcxMkMzMTQ4OTUzNDBFRk" localSheetId="11" hidden="1">#REF!</definedName>
    <definedName name="bb_RTcxMkMzMTQ4OTUzNDBFRk" hidden="1">#REF!</definedName>
    <definedName name="bb_RTcxOTE3RjUyQzhCNDBCQ0" localSheetId="10" hidden="1">#REF!</definedName>
    <definedName name="bb_RTcxOTE3RjUyQzhCNDBCQ0" localSheetId="8" hidden="1">#REF!</definedName>
    <definedName name="bb_RTcxOTE3RjUyQzhCNDBCQ0" localSheetId="11" hidden="1">#REF!</definedName>
    <definedName name="bb_RTcxOTE3RjUyQzhCNDBCQ0" hidden="1">#REF!</definedName>
    <definedName name="bb_RTdBRUQ2MzdBODM4NENGMT" localSheetId="10" hidden="1">'[14]Change in Exposure'!#REF!</definedName>
    <definedName name="bb_RTdBRUQ2MzdBODM4NENGMT" localSheetId="11" hidden="1">'[14]Change in Exposure'!#REF!</definedName>
    <definedName name="bb_RTdBRUQ2MzdBODM4NENGMT" hidden="1">'[14]Change in Exposure'!#REF!</definedName>
    <definedName name="bb_RTdEMzZDQzdCQzVDNDlDNT" localSheetId="10" hidden="1">#REF!</definedName>
    <definedName name="bb_RTdEMzZDQzdCQzVDNDlDNT" localSheetId="8" hidden="1">#REF!</definedName>
    <definedName name="bb_RTdEMzZDQzdCQzVDNDlDNT" localSheetId="11" hidden="1">#REF!</definedName>
    <definedName name="bb_RTdEMzZDQzdCQzVDNDlDNT" hidden="1">#REF!</definedName>
    <definedName name="bb_RTE2OEI1NTM0M0QwNDQ5Rk" localSheetId="10" hidden="1">#REF!</definedName>
    <definedName name="bb_RTE2OEI1NTM0M0QwNDQ5Rk" localSheetId="8" hidden="1">#REF!</definedName>
    <definedName name="bb_RTE2OEI1NTM0M0QwNDQ5Rk" localSheetId="11" hidden="1">#REF!</definedName>
    <definedName name="bb_RTE2OEI1NTM0M0QwNDQ5Rk" hidden="1">#REF!</definedName>
    <definedName name="bb_RTE5QzFDNTE2MjgxNDBCRD" localSheetId="8" hidden="1">#REF!</definedName>
    <definedName name="bb_RTE5QzFDNTE2MjgxNDBCRD" hidden="1">#REF!</definedName>
    <definedName name="bb_RTFBODcxOUMwQzNFNDlDRT" localSheetId="8" hidden="1">#REF!</definedName>
    <definedName name="bb_RTFBODcxOUMwQzNFNDlDRT" hidden="1">#REF!</definedName>
    <definedName name="bb_RTFCNDdFQTI4QjU1NDAzRj" localSheetId="8" hidden="1">#REF!</definedName>
    <definedName name="bb_RTFCNDdFQTI4QjU1NDAzRj" hidden="1">#REF!</definedName>
    <definedName name="bb_RTFGRTAxOUI1NjQxNEYwOU" localSheetId="8" hidden="1">#REF!</definedName>
    <definedName name="bb_RTFGRTAxOUI1NjQxNEYwOU" hidden="1">#REF!</definedName>
    <definedName name="bb_RTg0MzA0NUYxODMxNDQ3Mj" localSheetId="8" hidden="1">#REF!</definedName>
    <definedName name="bb_RTg0MzA0NUYxODMxNDQ3Mj" hidden="1">#REF!</definedName>
    <definedName name="bb_RTg0RDNGQ0Y5N0JENDhENk" localSheetId="8" hidden="1">#REF!</definedName>
    <definedName name="bb_RTg0RDNGQ0Y5N0JENDhENk" hidden="1">#REF!</definedName>
    <definedName name="bb_RTgyMDEyMjE2MUY1NDJDRE" localSheetId="8" hidden="1">#REF!</definedName>
    <definedName name="bb_RTgyMDEyMjE2MUY1NDJDRE" hidden="1">#REF!</definedName>
    <definedName name="bb_RThCREFBOEZBQ0ZENDM4Rk" localSheetId="8" hidden="1">#REF!</definedName>
    <definedName name="bb_RThCREFBOEZBQ0ZENDM4Rk" hidden="1">#REF!</definedName>
    <definedName name="bb_RThENzAxNjAwMTg3NDc1MT" localSheetId="8" hidden="1">#REF!</definedName>
    <definedName name="bb_RThENzAxNjAwMTg3NDc1MT" hidden="1">#REF!</definedName>
    <definedName name="bb_RTI1NzREQTFEQ0ZCNEVGMT" localSheetId="8" hidden="1">#REF!</definedName>
    <definedName name="bb_RTI1NzREQTFEQ0ZCNEVGMT" hidden="1">#REF!</definedName>
    <definedName name="bb_RTIxMURBNzUyMjJENDExQU" localSheetId="8" hidden="1">#REF!</definedName>
    <definedName name="bb_RTIxMURBNzUyMjJENDExQU" hidden="1">#REF!</definedName>
    <definedName name="bb_RTIyQThBRTg0NUMwNEM2OT" localSheetId="8" hidden="1">#REF!</definedName>
    <definedName name="bb_RTIyQThBRTg0NUMwNEM2OT" hidden="1">#REF!</definedName>
    <definedName name="bb_RTIzMDdGOEQzMTRGNEJEQT" localSheetId="8" hidden="1">#REF!</definedName>
    <definedName name="bb_RTIzMDdGOEQzMTRGNEJEQT" hidden="1">#REF!</definedName>
    <definedName name="bb_RTJEMUEzRTNFRTY3NENGQj" localSheetId="8" hidden="1">#REF!</definedName>
    <definedName name="bb_RTJEMUEzRTNFRTY3NENGQj" hidden="1">#REF!</definedName>
    <definedName name="bb_RTk0REZBQTUwMUQ5NDA1NU" localSheetId="8" hidden="1">#REF!</definedName>
    <definedName name="bb_RTk0REZBQTUwMUQ5NDA1NU" hidden="1">#REF!</definedName>
    <definedName name="bb_RTk1Q0MwQ0M4NjUxNEJCND" hidden="1">'[11]Cap Stx'!#REF!</definedName>
    <definedName name="bb_RTk5N0FCQzYyRUFCNDJFRE" localSheetId="10" hidden="1">#REF!</definedName>
    <definedName name="bb_RTk5N0FCQzYyRUFCNDJFRE" localSheetId="8" hidden="1">#REF!</definedName>
    <definedName name="bb_RTk5N0FCQzYyRUFCNDJFRE" localSheetId="11" hidden="1">#REF!</definedName>
    <definedName name="bb_RTk5N0FCQzYyRUFCNDJFRE" hidden="1">#REF!</definedName>
    <definedName name="bb_RTk5RkVBRDVBQjQ5NDNGN0" localSheetId="10" hidden="1">#REF!</definedName>
    <definedName name="bb_RTk5RkVBRDVBQjQ5NDNGN0" localSheetId="8" hidden="1">#REF!</definedName>
    <definedName name="bb_RTk5RkVBRDVBQjQ5NDNGN0" localSheetId="11" hidden="1">#REF!</definedName>
    <definedName name="bb_RTk5RkVBRDVBQjQ5NDNGN0" hidden="1">#REF!</definedName>
    <definedName name="bb_RTkxOEU4MTk4RUQzNDQ5OE" localSheetId="8" hidden="1">#REF!</definedName>
    <definedName name="bb_RTkxOEU4MTk4RUQzNDQ5OE" hidden="1">#REF!</definedName>
    <definedName name="bb_RTRDODdFNDU2MTg2NDYxQj" localSheetId="8" hidden="1">#REF!</definedName>
    <definedName name="bb_RTRDODdFNDU2MTg2NDYxQj" hidden="1">#REF!</definedName>
    <definedName name="bb_RTRGQUMxMjIwM0Y5NEQyNU" localSheetId="8" hidden="1">#REF!</definedName>
    <definedName name="bb_RTRGQUMxMjIwM0Y5NEQyNU" hidden="1">#REF!</definedName>
    <definedName name="bb_RTUwM0JDQUY0RkYzNERBRk" localSheetId="8" hidden="1">#REF!</definedName>
    <definedName name="bb_RTUwM0JDQUY0RkYzNERBRk" hidden="1">#REF!</definedName>
    <definedName name="bb_RUE1RTYzQkRGOTE0NDNFRj" localSheetId="8" hidden="1">#REF!</definedName>
    <definedName name="bb_RUE1RTYzQkRGOTE0NDNFRj" hidden="1">#REF!</definedName>
    <definedName name="bb_RUE2ODVDNTUxMjcwNDI4OD" localSheetId="8" hidden="1">#REF!</definedName>
    <definedName name="bb_RUE2ODVDNTUxMjcwNDI4OD" hidden="1">#REF!</definedName>
    <definedName name="bb_RUEyNTFBRjA4REQ3NDQyOE" localSheetId="8" hidden="1">#REF!</definedName>
    <definedName name="bb_RUEyNTFBRjA4REQ3NDQyOE" hidden="1">#REF!</definedName>
    <definedName name="bb_RUI2QUI2REY0NTczNDhGNj" localSheetId="8" hidden="1">#REF!</definedName>
    <definedName name="bb_RUI2QUI2REY0NTczNDhGNj" hidden="1">#REF!</definedName>
    <definedName name="bb_RUM3MTIxRkI3N0MzNEY1MT" localSheetId="8" hidden="1">#REF!</definedName>
    <definedName name="bb_RUM3MTIxRkI3N0MzNEY1MT" hidden="1">#REF!</definedName>
    <definedName name="bb_RUNDM0VBMTM0MjhFNDgwRj" localSheetId="8" hidden="1">#REF!</definedName>
    <definedName name="bb_RUNDM0VBMTM0MjhFNDgwRj" hidden="1">#REF!</definedName>
    <definedName name="bb_RURENEIzODQ0QjNCNEQ4Rj" localSheetId="8" hidden="1">#REF!</definedName>
    <definedName name="bb_RURENEIzODQ0QjNCNEQ4Rj" hidden="1">#REF!</definedName>
    <definedName name="bb_RURFRUE2MDg1Rjk2NDZFQz" localSheetId="8" hidden="1">#REF!</definedName>
    <definedName name="bb_RURFRUE2MDg1Rjk2NDZFQz" hidden="1">#REF!</definedName>
    <definedName name="bb_RUU4RTFENjQwRDRFNDdBRk" localSheetId="8" hidden="1">#REF!</definedName>
    <definedName name="bb_RUU4RTFENjQwRDRFNDdBRk" hidden="1">#REF!</definedName>
    <definedName name="bb_RUUwRjBEN0IzQkMzNDEwOD" localSheetId="8" hidden="1">#REF!</definedName>
    <definedName name="bb_RUUwRjBEN0IzQkMzNDEwOD" hidden="1">#REF!</definedName>
    <definedName name="bb_RUYwNzhGNTQ5QTQxNDM1RE" localSheetId="8" hidden="1">#REF!</definedName>
    <definedName name="bb_RUYwNzhGNTQ5QTQxNDM1RE" hidden="1">#REF!</definedName>
    <definedName name="BBBBBBBB" hidden="1">'[22]Backup data'!#REF!</definedName>
    <definedName name="BLPH1" hidden="1">'[23]Backup data'!#REF!</definedName>
    <definedName name="BLPH10" hidden="1">'[23]Backup data'!#REF!</definedName>
    <definedName name="BLPH100" hidden="1">'[23]Backup data'!#REF!</definedName>
    <definedName name="BLPH102" hidden="1">'[23]Backup data'!#REF!</definedName>
    <definedName name="BLPH103" hidden="1">'[23]Backup data'!#REF!</definedName>
    <definedName name="BLPH104" hidden="1">'[23]Backup data'!#REF!</definedName>
    <definedName name="BLPH105" hidden="1">'[23]Backup data'!#REF!</definedName>
    <definedName name="BLPH106" hidden="1">'[23]Backup data'!#REF!</definedName>
    <definedName name="BLPH107" hidden="1">'[23]Backup data'!#REF!</definedName>
    <definedName name="BLPH108" hidden="1">'[23]Backup data'!#REF!</definedName>
    <definedName name="BLPH109" hidden="1">'[23]Backup data'!#REF!</definedName>
    <definedName name="BLPH11" hidden="1">'[23]Backup data'!#REF!</definedName>
    <definedName name="BLPH110" hidden="1">'[23]Backup data'!#REF!</definedName>
    <definedName name="BLPH111" hidden="1">'[23]Backup data'!#REF!</definedName>
    <definedName name="BLPH112" hidden="1">'[23]Backup data'!#REF!</definedName>
    <definedName name="BLPH113" hidden="1">'[23]Backup data'!#REF!</definedName>
    <definedName name="BLPH114" hidden="1">'[23]Backup data'!#REF!</definedName>
    <definedName name="BLPH115" hidden="1">'[23]Backup data'!#REF!</definedName>
    <definedName name="BLPH116" hidden="1">'[23]Backup data'!#REF!</definedName>
    <definedName name="BLPH117" hidden="1">'[23]Backup data'!#REF!</definedName>
    <definedName name="BLPH118" hidden="1">'[23]Backup data'!#REF!</definedName>
    <definedName name="BLPH119" hidden="1">'[23]Backup data'!#REF!</definedName>
    <definedName name="BLPH12" hidden="1">'[23]Backup data'!#REF!</definedName>
    <definedName name="BLPH120" hidden="1">'[23]Backup data'!#REF!</definedName>
    <definedName name="BLPH121" hidden="1">'[23]Backup data'!#REF!</definedName>
    <definedName name="BLPH122" hidden="1">'[23]Backup data'!#REF!</definedName>
    <definedName name="BLPH123" hidden="1">'[23]Backup data'!#REF!</definedName>
    <definedName name="BLPH124" hidden="1">'[23]Backup data'!#REF!</definedName>
    <definedName name="BLPH125" hidden="1">'[23]Backup data'!#REF!</definedName>
    <definedName name="BLPH126" hidden="1">'[23]Backup data'!#REF!</definedName>
    <definedName name="BLPH127" hidden="1">'[23]Backup data'!#REF!</definedName>
    <definedName name="BLPH128" hidden="1">'[23]Backup data'!#REF!</definedName>
    <definedName name="BLPH129" hidden="1">'[23]Backup data'!#REF!</definedName>
    <definedName name="BLPH13" hidden="1">'[23]Backup data'!#REF!</definedName>
    <definedName name="BLPH130" hidden="1">'[23]Backup data'!#REF!</definedName>
    <definedName name="BLPH131" hidden="1">'[23]Backup data'!#REF!</definedName>
    <definedName name="BLPH132" hidden="1">'[23]Backup data'!#REF!</definedName>
    <definedName name="BLPH133" hidden="1">'[23]Backup data'!#REF!</definedName>
    <definedName name="BLPH134" hidden="1">[23]Download!#REF!</definedName>
    <definedName name="BLPH135" hidden="1">[23]Download!#REF!</definedName>
    <definedName name="BLPH136" hidden="1">[23]Download!#REF!</definedName>
    <definedName name="BLPH137" hidden="1">[23]Download!#REF!</definedName>
    <definedName name="BLPH138" hidden="1">[23]Download!#REF!</definedName>
    <definedName name="BLPH139" hidden="1">[23]Download!#REF!</definedName>
    <definedName name="BLPH14" hidden="1">'[23]Backup data'!#REF!</definedName>
    <definedName name="BLPH140" hidden="1">[23]Download!#REF!</definedName>
    <definedName name="BLPH141" hidden="1">[23]Download!#REF!</definedName>
    <definedName name="BLPH142" hidden="1">[23]Download!#REF!</definedName>
    <definedName name="BLPH143" hidden="1">[23]Download!#REF!</definedName>
    <definedName name="BLPH144" hidden="1">[23]Download!#REF!</definedName>
    <definedName name="BLPH145" hidden="1">[23]Download!#REF!</definedName>
    <definedName name="BLPH146" hidden="1">[23]Download!#REF!</definedName>
    <definedName name="BLPH147" hidden="1">[23]Download!#REF!</definedName>
    <definedName name="BLPH148" hidden="1">[23]Download!#REF!</definedName>
    <definedName name="BLPH149" hidden="1">[23]Download!#REF!</definedName>
    <definedName name="BLPH15" hidden="1">'[23]Backup data'!#REF!</definedName>
    <definedName name="BLPH150" hidden="1">[23]Download!#REF!</definedName>
    <definedName name="BLPH151" hidden="1">[23]Download!#REF!</definedName>
    <definedName name="BLPH152" hidden="1">[23]Download!#REF!</definedName>
    <definedName name="BLPH153" hidden="1">[23]Download!#REF!</definedName>
    <definedName name="BLPH154" hidden="1">[23]Download!#REF!</definedName>
    <definedName name="BLPH155" hidden="1">[23]Download!#REF!</definedName>
    <definedName name="BLPH156" hidden="1">[23]Download!#REF!</definedName>
    <definedName name="BLPH157" hidden="1">[23]Download!#REF!</definedName>
    <definedName name="BLPH158" hidden="1">[23]Download!#REF!</definedName>
    <definedName name="BLPH159" hidden="1">[23]Download!#REF!</definedName>
    <definedName name="BLPH16" hidden="1">'[23]Backup data'!#REF!</definedName>
    <definedName name="BLPH160" hidden="1">[23]Download!#REF!</definedName>
    <definedName name="BLPH161" hidden="1">[23]Download!#REF!</definedName>
    <definedName name="BLPH162" hidden="1">[23]Download!#REF!</definedName>
    <definedName name="BLPH163" hidden="1">[23]Download!#REF!</definedName>
    <definedName name="BLPH164" hidden="1">[23]Download!#REF!</definedName>
    <definedName name="BLPH165" hidden="1">[23]Download!#REF!</definedName>
    <definedName name="BLPH166" hidden="1">[23]Download!#REF!</definedName>
    <definedName name="BLPH167" hidden="1">[23]Download!#REF!</definedName>
    <definedName name="BLPH168" hidden="1">[23]Download!#REF!</definedName>
    <definedName name="BLPH169" hidden="1">[23]Download!#REF!</definedName>
    <definedName name="BLPH17" hidden="1">'[23]Backup data'!#REF!</definedName>
    <definedName name="BLPH170" hidden="1">[23]Download!#REF!</definedName>
    <definedName name="BLPH171" hidden="1">[23]Download!#REF!</definedName>
    <definedName name="BLPH172" hidden="1">[23]Download!#REF!</definedName>
    <definedName name="BLPH173" hidden="1">[23]Download!#REF!</definedName>
    <definedName name="BLPH174" hidden="1">[23]Download!#REF!</definedName>
    <definedName name="BLPH175" hidden="1">[23]Download!#REF!</definedName>
    <definedName name="BLPH176" hidden="1">[23]Download!#REF!</definedName>
    <definedName name="BLPH177" hidden="1">[23]Download!#REF!</definedName>
    <definedName name="BLPH178" hidden="1">[23]Download!#REF!</definedName>
    <definedName name="BLPH179" hidden="1">[23]Download!#REF!</definedName>
    <definedName name="BLPH18" hidden="1">'[23]Backup data'!#REF!</definedName>
    <definedName name="BLPH180" hidden="1">[23]Download!#REF!</definedName>
    <definedName name="BLPH181" hidden="1">[23]Download!#REF!</definedName>
    <definedName name="BLPH182" hidden="1">[23]Download!#REF!</definedName>
    <definedName name="BLPH183" hidden="1">[23]Download!#REF!</definedName>
    <definedName name="BLPH184" hidden="1">[23]Download!#REF!</definedName>
    <definedName name="BLPH185" hidden="1">[23]Download!#REF!</definedName>
    <definedName name="BLPH186" hidden="1">[23]Download!#REF!</definedName>
    <definedName name="BLPH187" hidden="1">[23]Download!#REF!</definedName>
    <definedName name="BLPH188" hidden="1">[23]Download!#REF!</definedName>
    <definedName name="BLPH189" hidden="1">[23]Download!#REF!</definedName>
    <definedName name="BLPH19" hidden="1">'[23]Backup data'!#REF!</definedName>
    <definedName name="BLPH190" hidden="1">[23]Download!#REF!</definedName>
    <definedName name="BLPH191" hidden="1">[23]Download!#REF!</definedName>
    <definedName name="BLPH192" hidden="1">[23]Download!#REF!</definedName>
    <definedName name="BLPH193" hidden="1">[23]Download!#REF!</definedName>
    <definedName name="BLPH194" hidden="1">[23]Download!#REF!</definedName>
    <definedName name="BLPH195" hidden="1">[23]Download!#REF!</definedName>
    <definedName name="BLPH196" hidden="1">[23]Download!#REF!</definedName>
    <definedName name="BLPH197" hidden="1">[23]Download!#REF!</definedName>
    <definedName name="BLPH198" hidden="1">[23]Download!#REF!</definedName>
    <definedName name="BLPH199" hidden="1">[23]Download!#REF!</definedName>
    <definedName name="BLPH20" hidden="1">'[23]Backup data'!#REF!</definedName>
    <definedName name="BLPH200" hidden="1">[23]Download!#REF!</definedName>
    <definedName name="BLPH201" hidden="1">[23]Download!#REF!</definedName>
    <definedName name="BLPH202" hidden="1">[23]Download!#REF!</definedName>
    <definedName name="BLPH203" hidden="1">[23]Download!#REF!</definedName>
    <definedName name="BLPH204" hidden="1">[23]Download!#REF!</definedName>
    <definedName name="BLPH205" hidden="1">[23]Download!#REF!</definedName>
    <definedName name="BLPH206" hidden="1">[23]Download!#REF!</definedName>
    <definedName name="BLPH207" hidden="1">[23]Download!#REF!</definedName>
    <definedName name="BLPH208" hidden="1">[23]Download!#REF!</definedName>
    <definedName name="BLPH209" hidden="1">[23]Download!#REF!</definedName>
    <definedName name="BLPH21" hidden="1">'[23]Backup data'!#REF!</definedName>
    <definedName name="BLPH210" hidden="1">[23]Download!#REF!</definedName>
    <definedName name="BLPH211" hidden="1">[23]Download!#REF!</definedName>
    <definedName name="BLPH212" hidden="1">[23]Download!#REF!</definedName>
    <definedName name="BLPH213" hidden="1">[23]Download!#REF!</definedName>
    <definedName name="BLPH214" hidden="1">[23]Download!#REF!</definedName>
    <definedName name="BLPH215" hidden="1">[23]Download!#REF!</definedName>
    <definedName name="BLPH216" hidden="1">[23]Download!#REF!</definedName>
    <definedName name="BLPH217" hidden="1">[23]Download!#REF!</definedName>
    <definedName name="BLPH22" hidden="1">'[23]Backup data'!#REF!</definedName>
    <definedName name="BLPH23" hidden="1">'[23]Backup data'!#REF!</definedName>
    <definedName name="BLPH24" hidden="1">'[23]Backup data'!#REF!</definedName>
    <definedName name="BLPH25" hidden="1">'[23]Backup data'!#REF!</definedName>
    <definedName name="BLPH26" hidden="1">'[23]Backup data'!#REF!</definedName>
    <definedName name="BLPH27" hidden="1">'[23]Backup data'!#REF!</definedName>
    <definedName name="BLPH28" hidden="1">'[23]Backup data'!#REF!</definedName>
    <definedName name="BLPH287" hidden="1">[23]Download!#REF!</definedName>
    <definedName name="BLPH29" hidden="1">'[23]Backup data'!#REF!</definedName>
    <definedName name="BLPH30" hidden="1">'[23]Backup data'!#REF!</definedName>
    <definedName name="BLPH301" hidden="1">'[23]Backup data'!#REF!</definedName>
    <definedName name="BLPH31" hidden="1">'[23]Backup data'!#REF!</definedName>
    <definedName name="BLPH32" hidden="1">'[23]Backup data'!#REF!</definedName>
    <definedName name="BLPH33" hidden="1">'[23]Backup data'!#REF!</definedName>
    <definedName name="BLPH34" hidden="1">'[23]Backup data'!#REF!</definedName>
    <definedName name="BLPH35" hidden="1">'[23]Backup data'!#REF!</definedName>
    <definedName name="BLPH36" hidden="1">'[23]Backup data'!#REF!</definedName>
    <definedName name="BLPH37" hidden="1">'[23]Backup data'!#REF!</definedName>
    <definedName name="BLPH38" hidden="1">'[23]Backup data'!#REF!</definedName>
    <definedName name="BLPH39" hidden="1">'[23]Backup data'!#REF!</definedName>
    <definedName name="BLPH40" hidden="1">'[23]Backup data'!#REF!</definedName>
    <definedName name="BLPH41" hidden="1">'[23]Backup data'!#REF!</definedName>
    <definedName name="BLPH42" hidden="1">'[23]Backup data'!#REF!</definedName>
    <definedName name="BLPH43" hidden="1">'[23]Backup data'!#REF!</definedName>
    <definedName name="BLPH44" hidden="1">'[23]Backup data'!#REF!</definedName>
    <definedName name="BLPH45" hidden="1">'[23]Backup data'!#REF!</definedName>
    <definedName name="BLPH47" hidden="1">'[23]Backup data'!#REF!</definedName>
    <definedName name="BLPH53" hidden="1">'[24]Backup data'!#REF!</definedName>
    <definedName name="BLPH54" hidden="1">'[23]Backup data'!#REF!</definedName>
    <definedName name="BLPH56" hidden="1">'[23]Backup data'!#REF!</definedName>
    <definedName name="BLPH57" hidden="1">'[23]Backup data'!#REF!</definedName>
    <definedName name="BLPH58" hidden="1">'[23]Backup data'!#REF!</definedName>
    <definedName name="BLPH59" hidden="1">'[23]Backup data'!#REF!</definedName>
    <definedName name="BLPH60" hidden="1">'[23]Backup data'!#REF!</definedName>
    <definedName name="BLPH61" hidden="1">'[23]Backup data'!#REF!</definedName>
    <definedName name="BLPH62" hidden="1">'[23]Backup data'!#REF!</definedName>
    <definedName name="BLPH63" hidden="1">'[23]Backup data'!#REF!</definedName>
    <definedName name="BLPH64" hidden="1">'[23]Backup data'!#REF!</definedName>
    <definedName name="BLPH65" hidden="1">'[23]Backup data'!#REF!</definedName>
    <definedName name="BLPH66" hidden="1">'[23]Backup data'!#REF!</definedName>
    <definedName name="BLPH67" hidden="1">'[23]Backup data'!#REF!</definedName>
    <definedName name="BLPH68" hidden="1">'[23]Backup data'!#REF!</definedName>
    <definedName name="BLPH69" hidden="1">'[23]Backup data'!#REF!</definedName>
    <definedName name="BLPH7" hidden="1">'[24]Backup data'!#REF!</definedName>
    <definedName name="BLPH70" hidden="1">'[23]Backup data'!#REF!</definedName>
    <definedName name="BLPH71" hidden="1">'[23]Backup data'!#REF!</definedName>
    <definedName name="BLPH72" hidden="1">'[23]Backup data'!#REF!</definedName>
    <definedName name="BLPH73" hidden="1">'[23]Backup data'!#REF!</definedName>
    <definedName name="BLPH74" hidden="1">'[23]Backup data'!#REF!</definedName>
    <definedName name="BLPH75" hidden="1">'[23]Backup data'!#REF!</definedName>
    <definedName name="BLPH76" hidden="1">'[23]Backup data'!#REF!</definedName>
    <definedName name="BLPH77" hidden="1">'[23]Backup data'!#REF!</definedName>
    <definedName name="BLPH78" hidden="1">'[23]Backup data'!#REF!</definedName>
    <definedName name="BLPH79" hidden="1">'[23]Backup data'!#REF!</definedName>
    <definedName name="BLPH8" hidden="1">'[23]Backup data'!#REF!</definedName>
    <definedName name="BLPH80" hidden="1">'[23]Backup data'!#REF!</definedName>
    <definedName name="BLPH81" hidden="1">'[23]Backup data'!#REF!</definedName>
    <definedName name="BLPH82" hidden="1">'[23]Backup data'!#REF!</definedName>
    <definedName name="BLPH83" hidden="1">'[23]Backup data'!#REF!</definedName>
    <definedName name="BLPH84" hidden="1">'[23]Backup data'!#REF!</definedName>
    <definedName name="BLPH85" hidden="1">'[23]Backup data'!#REF!</definedName>
    <definedName name="BLPH86" hidden="1">'[23]Backup data'!#REF!</definedName>
    <definedName name="BLPH87" hidden="1">'[23]Backup data'!#REF!</definedName>
    <definedName name="BLPH88" hidden="1">'[23]Backup data'!#REF!</definedName>
    <definedName name="BLPH89" hidden="1">'[23]Backup data'!#REF!</definedName>
    <definedName name="BLPH90" hidden="1">'[23]Backup data'!#REF!</definedName>
    <definedName name="BLPH91" hidden="1">'[23]Backup data'!#REF!</definedName>
    <definedName name="BLPH93" hidden="1">'[23]Backup data'!#REF!</definedName>
    <definedName name="BLPH99" hidden="1">'[24]Backup data'!#REF!</definedName>
    <definedName name="BLPR120040130170512210" hidden="1">'[25]Download Sheet'!#REF!</definedName>
    <definedName name="BLPR120040130170512210_1_8" hidden="1">'[25]Download Sheet'!#REF!</definedName>
    <definedName name="BLPR120040130170512210_2_8" hidden="1">'[25]Download Sheet'!#REF!</definedName>
    <definedName name="BLPR120040130170512210_3_8" hidden="1">'[25]Download Sheet'!#REF!</definedName>
    <definedName name="BLPR120040130170512210_4_8" hidden="1">'[25]Download Sheet'!#REF!</definedName>
    <definedName name="BLPR120040130170512210_5_8" hidden="1">'[25]Download Sheet'!#REF!</definedName>
    <definedName name="BLPR120040130170512210_6_8" hidden="1">'[25]Download Sheet'!#REF!</definedName>
    <definedName name="BLPR120040130170512210_7_8" hidden="1">'[25]Download Sheet'!#REF!</definedName>
    <definedName name="BLPR120040130170512210_8_8" hidden="1">'[25]Download Sheet'!#REF!</definedName>
    <definedName name="BLPR120040205162235653" hidden="1">'[25]Download Sheet'!#REF!</definedName>
    <definedName name="BLPR120040205162235653_1_8" hidden="1">'[25]Download Sheet'!#REF!</definedName>
    <definedName name="BLPR120040205162235653_2_8" hidden="1">'[25]Download Sheet'!#REF!</definedName>
    <definedName name="BLPR120040205162235653_3_8" hidden="1">'[25]Download Sheet'!#REF!</definedName>
    <definedName name="BLPR120040205162235653_4_8" hidden="1">'[25]Download Sheet'!#REF!</definedName>
    <definedName name="BLPR120040205162235653_5_8" hidden="1">'[25]Download Sheet'!#REF!</definedName>
    <definedName name="BLPR120040205162235653_6_8" hidden="1">'[25]Download Sheet'!#REF!</definedName>
    <definedName name="BLPR120040205162235653_7_8" hidden="1">'[25]Download Sheet'!#REF!</definedName>
    <definedName name="BLPR120040205162235653_8_8" hidden="1">'[25]Download Sheet'!#REF!</definedName>
    <definedName name="BLPR1520040130171441887" hidden="1">'[25]Download Sheet'!#REF!</definedName>
    <definedName name="BLPR1520040130171441887_1_8" hidden="1">'[25]Download Sheet'!#REF!</definedName>
    <definedName name="BLPR1520040130171441887_2_8" hidden="1">'[25]Download Sheet'!#REF!</definedName>
    <definedName name="BLPR1520040130171441887_3_8" hidden="1">'[25]Download Sheet'!#REF!</definedName>
    <definedName name="BLPR1520040130171441887_4_8" hidden="1">'[25]Download Sheet'!#REF!</definedName>
    <definedName name="BLPR1520040130171441887_5_8" hidden="1">'[25]Download Sheet'!#REF!</definedName>
    <definedName name="BLPR1520040130171441887_6_8" hidden="1">'[25]Download Sheet'!#REF!</definedName>
    <definedName name="BLPR1520040130171441887_7_8" hidden="1">'[25]Download Sheet'!#REF!</definedName>
    <definedName name="BLPR1520040130171441887_8_8" hidden="1">'[25]Download Sheet'!#REF!</definedName>
    <definedName name="BLPR1820040205165037169" hidden="1">'[25]Download Sheet'!#REF!</definedName>
    <definedName name="BLPR1820040205165037169_1_8" hidden="1">'[25]Download Sheet'!#REF!</definedName>
    <definedName name="BLPR1820040205165037169_2_8" hidden="1">'[25]Download Sheet'!#REF!</definedName>
    <definedName name="BLPR1820040205165037169_3_8" hidden="1">'[25]Download Sheet'!#REF!</definedName>
    <definedName name="BLPR1820040205165037169_4_8" hidden="1">'[25]Download Sheet'!#REF!</definedName>
    <definedName name="BLPR1820040205165037169_5_8" hidden="1">'[25]Download Sheet'!#REF!</definedName>
    <definedName name="BLPR1820040205165037169_6_8" hidden="1">'[25]Download Sheet'!#REF!</definedName>
    <definedName name="BLPR1820040205165037169_7_8" hidden="1">'[25]Download Sheet'!#REF!</definedName>
    <definedName name="BLPR1820040205165037169_8_8" hidden="1">'[25]Download Sheet'!#REF!</definedName>
    <definedName name="BLPR1920040130171513072" hidden="1">'[25]Download Sheet'!#REF!</definedName>
    <definedName name="BLPR1920040130171513072_1_8" hidden="1">'[25]Download Sheet'!#REF!</definedName>
    <definedName name="BLPR1920040130171513072_2_8" hidden="1">'[25]Download Sheet'!#REF!</definedName>
    <definedName name="BLPR1920040130171513072_3_8" hidden="1">'[25]Download Sheet'!#REF!</definedName>
    <definedName name="BLPR1920040130171513072_4_8" hidden="1">'[25]Download Sheet'!#REF!</definedName>
    <definedName name="BLPR1920040130171513072_5_8" hidden="1">'[25]Download Sheet'!#REF!</definedName>
    <definedName name="BLPR1920040130171513072_6_8" hidden="1">'[25]Download Sheet'!#REF!</definedName>
    <definedName name="BLPR1920040130171513072_7_8" hidden="1">'[25]Download Sheet'!#REF!</definedName>
    <definedName name="BLPR1920040130171513072_8_8" hidden="1">'[25]Download Sheet'!#REF!</definedName>
    <definedName name="BLPR220040204201237693" hidden="1">'[25]Download Sheet'!#REF!</definedName>
    <definedName name="BLPR220040204201237693_1_8" hidden="1">'[25]Download Sheet'!#REF!</definedName>
    <definedName name="BLPR220040204201237693_2_8" hidden="1">'[25]Download Sheet'!#REF!</definedName>
    <definedName name="BLPR220040204201237693_3_8" hidden="1">'[25]Download Sheet'!#REF!</definedName>
    <definedName name="BLPR220040204201237693_4_8" hidden="1">'[25]Download Sheet'!#REF!</definedName>
    <definedName name="BLPR220040204201237693_5_8" hidden="1">'[25]Download Sheet'!#REF!</definedName>
    <definedName name="BLPR220040204201237693_6_8" hidden="1">'[25]Download Sheet'!#REF!</definedName>
    <definedName name="BLPR220040204201237693_7_8" hidden="1">'[25]Download Sheet'!#REF!</definedName>
    <definedName name="BLPR220040204201237693_8_8" hidden="1">'[25]Download Sheet'!#REF!</definedName>
    <definedName name="BLPR2220040130171524561" hidden="1">'[25]Download Sheet'!#REF!</definedName>
    <definedName name="BLPR2220040130171524561_1_8" hidden="1">'[25]Download Sheet'!#REF!</definedName>
    <definedName name="BLPR2220040130171524561_2_8" hidden="1">'[25]Download Sheet'!#REF!</definedName>
    <definedName name="BLPR2220040130171524561_3_8" hidden="1">'[25]Download Sheet'!#REF!</definedName>
    <definedName name="BLPR2220040130171524561_4_8" hidden="1">'[25]Download Sheet'!#REF!</definedName>
    <definedName name="BLPR2220040130171524561_5_8" hidden="1">'[25]Download Sheet'!#REF!</definedName>
    <definedName name="BLPR2220040130171524561_6_8" hidden="1">'[25]Download Sheet'!#REF!</definedName>
    <definedName name="BLPR2220040130171524561_7_8" hidden="1">'[25]Download Sheet'!#REF!</definedName>
    <definedName name="BLPR2220040130171524561_8_8" hidden="1">'[25]Download Sheet'!#REF!</definedName>
    <definedName name="BLPR2420040130171533284" hidden="1">'[25]Download Sheet'!#REF!</definedName>
    <definedName name="BLPR2420040130171533284_1_8" hidden="1">'[25]Download Sheet'!#REF!</definedName>
    <definedName name="BLPR2420040130171533284_2_8" hidden="1">'[25]Download Sheet'!#REF!</definedName>
    <definedName name="BLPR2420040130171533284_3_8" hidden="1">'[25]Download Sheet'!#REF!</definedName>
    <definedName name="BLPR2420040130171533284_4_8" hidden="1">'[25]Download Sheet'!#REF!</definedName>
    <definedName name="BLPR2420040130171533284_5_8" hidden="1">'[25]Download Sheet'!#REF!</definedName>
    <definedName name="BLPR2420040130171533284_6_8" hidden="1">'[25]Download Sheet'!#REF!</definedName>
    <definedName name="BLPR2420040130171533284_7_8" hidden="1">'[25]Download Sheet'!#REF!</definedName>
    <definedName name="BLPR2420040130171533284_8_8" hidden="1">'[25]Download Sheet'!#REF!</definedName>
    <definedName name="BLPR2520040130171541287" hidden="1">'[25]Download Sheet'!#REF!</definedName>
    <definedName name="BLPR2520040130171541287_1_8" hidden="1">'[25]Download Sheet'!#REF!</definedName>
    <definedName name="BLPR2520040130171541287_2_8" hidden="1">'[25]Download Sheet'!#REF!</definedName>
    <definedName name="BLPR2520040130171541287_3_8" hidden="1">'[25]Download Sheet'!#REF!</definedName>
    <definedName name="BLPR2520040130171541287_4_8" hidden="1">'[25]Download Sheet'!#REF!</definedName>
    <definedName name="BLPR2520040130171541287_5_8" hidden="1">'[25]Download Sheet'!#REF!</definedName>
    <definedName name="BLPR2520040130171541287_6_8" hidden="1">'[25]Download Sheet'!#REF!</definedName>
    <definedName name="BLPR2520040130171541287_7_8" hidden="1">'[25]Download Sheet'!#REF!</definedName>
    <definedName name="BLPR2520040130171541287_8_8" hidden="1">'[25]Download Sheet'!#REF!</definedName>
    <definedName name="BLPR2620040130171544867" hidden="1">'[25]Download Sheet'!#REF!</definedName>
    <definedName name="BLPR2620040130171544867_1_8" hidden="1">'[25]Download Sheet'!#REF!</definedName>
    <definedName name="BLPR2620040130171544867_2_8" hidden="1">'[25]Download Sheet'!#REF!</definedName>
    <definedName name="BLPR2620040130171544867_3_8" hidden="1">'[25]Download Sheet'!#REF!</definedName>
    <definedName name="BLPR2620040130171544867_4_8" hidden="1">'[25]Download Sheet'!#REF!</definedName>
    <definedName name="BLPR2620040130171544867_5_8" hidden="1">'[25]Download Sheet'!#REF!</definedName>
    <definedName name="BLPR2620040130171544867_6_8" hidden="1">'[25]Download Sheet'!#REF!</definedName>
    <definedName name="BLPR2620040130171544867_7_8" hidden="1">'[25]Download Sheet'!#REF!</definedName>
    <definedName name="BLPR2620040130171544867_8_8" hidden="1">'[25]Download Sheet'!#REF!</definedName>
    <definedName name="BLPR2720040130171547962" hidden="1">'[25]Download Sheet'!#REF!</definedName>
    <definedName name="BLPR2720040130171547962_1_8" hidden="1">'[25]Download Sheet'!#REF!</definedName>
    <definedName name="BLPR2720040130171547962_2_8" hidden="1">'[25]Download Sheet'!#REF!</definedName>
    <definedName name="BLPR2720040130171547962_3_8" hidden="1">'[25]Download Sheet'!#REF!</definedName>
    <definedName name="BLPR2720040130171547962_4_8" hidden="1">'[25]Download Sheet'!#REF!</definedName>
    <definedName name="BLPR2720040130171547962_5_8" hidden="1">'[25]Download Sheet'!#REF!</definedName>
    <definedName name="BLPR2720040130171547962_6_8" hidden="1">'[25]Download Sheet'!#REF!</definedName>
    <definedName name="BLPR2720040130171547962_7_8" hidden="1">'[25]Download Sheet'!#REF!</definedName>
    <definedName name="BLPR2720040130171547962_8_8" hidden="1">'[25]Download Sheet'!#REF!</definedName>
    <definedName name="BLPR2920040130171555449" hidden="1">'[25]Download Sheet'!#REF!</definedName>
    <definedName name="BLPR2920040130171555449_1_8" hidden="1">'[25]Download Sheet'!#REF!</definedName>
    <definedName name="BLPR2920040130171555449_2_8" hidden="1">'[25]Download Sheet'!#REF!</definedName>
    <definedName name="BLPR2920040130171555449_3_8" hidden="1">'[25]Download Sheet'!#REF!</definedName>
    <definedName name="BLPR2920040130171555449_4_8" hidden="1">'[25]Download Sheet'!#REF!</definedName>
    <definedName name="BLPR2920040130171555449_5_8" hidden="1">'[25]Download Sheet'!#REF!</definedName>
    <definedName name="BLPR2920040130171555449_6_8" hidden="1">'[25]Download Sheet'!#REF!</definedName>
    <definedName name="BLPR2920040130171555449_7_8" hidden="1">'[25]Download Sheet'!#REF!</definedName>
    <definedName name="BLPR2920040130171555449_8_8" hidden="1">'[25]Download Sheet'!#REF!</definedName>
    <definedName name="BLPR3020040130171601577" hidden="1">'[25]Download Sheet'!#REF!</definedName>
    <definedName name="BLPR3020040130171601577_1_8" hidden="1">'[25]Download Sheet'!#REF!</definedName>
    <definedName name="BLPR3020040130171601577_2_8" hidden="1">'[25]Download Sheet'!#REF!</definedName>
    <definedName name="BLPR3020040130171601577_3_8" hidden="1">'[25]Download Sheet'!#REF!</definedName>
    <definedName name="BLPR3020040130171601577_4_8" hidden="1">'[25]Download Sheet'!#REF!</definedName>
    <definedName name="BLPR3020040130171601577_5_8" hidden="1">'[25]Download Sheet'!#REF!</definedName>
    <definedName name="BLPR3020040130171601577_6_8" hidden="1">'[25]Download Sheet'!#REF!</definedName>
    <definedName name="BLPR3020040130171601577_7_8" hidden="1">'[25]Download Sheet'!#REF!</definedName>
    <definedName name="BLPR3020040130171601577_8_8" hidden="1">'[25]Download Sheet'!#REF!</definedName>
    <definedName name="BLPR320040204201544761" hidden="1">'[25]Download Sheet'!#REF!</definedName>
    <definedName name="BLPR320040204201544761_1_1" hidden="1">'[25]Download Sheet'!#REF!</definedName>
    <definedName name="BLPR3220040130171610424" hidden="1">'[25]Download Sheet'!#REF!</definedName>
    <definedName name="BLPR3220040130171610424_1_8" hidden="1">'[25]Download Sheet'!#REF!</definedName>
    <definedName name="BLPR3220040130171610424_2_8" hidden="1">'[25]Download Sheet'!#REF!</definedName>
    <definedName name="BLPR3220040130171610424_3_8" hidden="1">'[25]Download Sheet'!#REF!</definedName>
    <definedName name="BLPR3220040130171610424_4_8" hidden="1">'[25]Download Sheet'!#REF!</definedName>
    <definedName name="BLPR3220040130171610424_5_8" hidden="1">'[25]Download Sheet'!#REF!</definedName>
    <definedName name="BLPR3220040130171610424_6_8" hidden="1">'[25]Download Sheet'!#REF!</definedName>
    <definedName name="BLPR3220040130171610424_7_8" hidden="1">'[25]Download Sheet'!#REF!</definedName>
    <definedName name="BLPR3220040130171610424_8_8" hidden="1">'[25]Download Sheet'!#REF!</definedName>
    <definedName name="BLPR3320040130171738961" hidden="1">'[25]Download Sheet'!#REF!</definedName>
    <definedName name="BLPR3320040130171738961_1_8" hidden="1">'[25]Download Sheet'!#REF!</definedName>
    <definedName name="BLPR3320040130171738961_2_8" hidden="1">'[25]Download Sheet'!#REF!</definedName>
    <definedName name="BLPR3320040130171738961_3_8" hidden="1">'[25]Download Sheet'!#REF!</definedName>
    <definedName name="BLPR3320040130171738961_4_8" hidden="1">'[25]Download Sheet'!#REF!</definedName>
    <definedName name="BLPR3320040130171738961_5_8" hidden="1">'[25]Download Sheet'!#REF!</definedName>
    <definedName name="BLPR3320040130171738961_6_8" hidden="1">'[25]Download Sheet'!#REF!</definedName>
    <definedName name="BLPR3320040130171738961_7_8" hidden="1">'[25]Download Sheet'!#REF!</definedName>
    <definedName name="BLPR3320040130171738961_8_8" hidden="1">'[25]Download Sheet'!#REF!</definedName>
    <definedName name="BLPR3420040130171750184" hidden="1">'[25]Download Sheet'!#REF!</definedName>
    <definedName name="BLPR3420040130171750184_1_8" hidden="1">'[25]Download Sheet'!#REF!</definedName>
    <definedName name="BLPR3420040130171750184_2_8" hidden="1">'[25]Download Sheet'!#REF!</definedName>
    <definedName name="BLPR3420040130171750184_3_8" hidden="1">'[25]Download Sheet'!#REF!</definedName>
    <definedName name="BLPR3420040130171750184_4_8" hidden="1">'[25]Download Sheet'!#REF!</definedName>
    <definedName name="BLPR3420040130171750184_5_8" hidden="1">'[25]Download Sheet'!#REF!</definedName>
    <definedName name="BLPR3420040130171750184_6_8" hidden="1">'[25]Download Sheet'!#REF!</definedName>
    <definedName name="BLPR3420040130171750184_7_8" hidden="1">'[25]Download Sheet'!#REF!</definedName>
    <definedName name="BLPR3420040130171750184_8_8" hidden="1">'[25]Download Sheet'!#REF!</definedName>
    <definedName name="BLPR3520040130171814679" hidden="1">'[25]Download Sheet'!#REF!</definedName>
    <definedName name="BLPR3520040130171814679_1_8" hidden="1">'[25]Download Sheet'!#REF!</definedName>
    <definedName name="BLPR3520040130171814679_2_8" hidden="1">'[25]Download Sheet'!#REF!</definedName>
    <definedName name="BLPR3520040130171814679_3_8" hidden="1">'[25]Download Sheet'!#REF!</definedName>
    <definedName name="BLPR3520040130171814679_4_8" hidden="1">'[25]Download Sheet'!#REF!</definedName>
    <definedName name="BLPR3520040130171814679_5_8" hidden="1">'[25]Download Sheet'!#REF!</definedName>
    <definedName name="BLPR3520040130171814679_6_8" hidden="1">'[25]Download Sheet'!#REF!</definedName>
    <definedName name="BLPR3520040130171814679_7_8" hidden="1">'[25]Download Sheet'!#REF!</definedName>
    <definedName name="BLPR3520040130171814679_8_8" hidden="1">'[25]Download Sheet'!#REF!</definedName>
    <definedName name="BLPR3620040130171814679" hidden="1">'[25]Download Sheet'!#REF!</definedName>
    <definedName name="BLPR3620040130171814679_1_8" hidden="1">'[25]Download Sheet'!#REF!</definedName>
    <definedName name="BLPR3620040130171814679_2_8" hidden="1">'[25]Download Sheet'!#REF!</definedName>
    <definedName name="BLPR3620040130171814679_3_8" hidden="1">'[25]Download Sheet'!#REF!</definedName>
    <definedName name="BLPR3620040130171814679_4_8" hidden="1">'[25]Download Sheet'!#REF!</definedName>
    <definedName name="BLPR3620040130171814679_5_8" hidden="1">'[25]Download Sheet'!#REF!</definedName>
    <definedName name="BLPR3620040130171814679_6_8" hidden="1">'[25]Download Sheet'!#REF!</definedName>
    <definedName name="BLPR3620040130171814679_7_8" hidden="1">'[25]Download Sheet'!#REF!</definedName>
    <definedName name="BLPR3620040130171814679_8_8" hidden="1">'[25]Download Sheet'!#REF!</definedName>
    <definedName name="BLPR3720040130171901073" hidden="1">'[25]Download Sheet'!#REF!</definedName>
    <definedName name="BLPR3720040130171901073_1_8" hidden="1">'[25]Download Sheet'!#REF!</definedName>
    <definedName name="BLPR3720040130171901073_2_8" hidden="1">'[25]Download Sheet'!#REF!</definedName>
    <definedName name="BLPR3720040130171901073_3_8" hidden="1">'[25]Download Sheet'!#REF!</definedName>
    <definedName name="BLPR3720040130171901073_4_8" hidden="1">'[25]Download Sheet'!#REF!</definedName>
    <definedName name="BLPR3720040130171901073_5_8" hidden="1">'[25]Download Sheet'!#REF!</definedName>
    <definedName name="BLPR3720040130171901073_6_8" hidden="1">'[25]Download Sheet'!#REF!</definedName>
    <definedName name="BLPR3720040130171901073_7_8" hidden="1">'[25]Download Sheet'!#REF!</definedName>
    <definedName name="BLPR3720040130171901073_8_8" hidden="1">'[25]Download Sheet'!#REF!</definedName>
    <definedName name="BLPR3820040130171905294" hidden="1">'[25]Download Sheet'!#REF!</definedName>
    <definedName name="BLPR3820040130171905294_1_8" hidden="1">'[25]Download Sheet'!#REF!</definedName>
    <definedName name="BLPR3820040130171905294_2_8" hidden="1">'[25]Download Sheet'!#REF!</definedName>
    <definedName name="BLPR3820040130171905294_3_8" hidden="1">'[25]Download Sheet'!#REF!</definedName>
    <definedName name="BLPR3820040130171905294_4_8" hidden="1">'[25]Download Sheet'!#REF!</definedName>
    <definedName name="BLPR3820040130171905294_5_8" hidden="1">'[25]Download Sheet'!#REF!</definedName>
    <definedName name="BLPR3820040130171905294_6_8" hidden="1">'[25]Download Sheet'!#REF!</definedName>
    <definedName name="BLPR3820040130171905294_7_8" hidden="1">'[25]Download Sheet'!#REF!</definedName>
    <definedName name="BLPR3820040130171905294_8_8" hidden="1">'[25]Download Sheet'!#REF!</definedName>
    <definedName name="BLPR3920040130171914282" hidden="1">'[25]Download Sheet'!#REF!</definedName>
    <definedName name="BLPR3920040130171914282_1_8" hidden="1">'[25]Download Sheet'!#REF!</definedName>
    <definedName name="BLPR3920040130171914282_2_8" hidden="1">'[25]Download Sheet'!#REF!</definedName>
    <definedName name="BLPR3920040130171914282_3_8" hidden="1">'[25]Download Sheet'!#REF!</definedName>
    <definedName name="BLPR3920040130171914282_4_8" hidden="1">'[25]Download Sheet'!#REF!</definedName>
    <definedName name="BLPR3920040130171914282_5_8" hidden="1">'[25]Download Sheet'!#REF!</definedName>
    <definedName name="BLPR3920040130171914282_6_8" hidden="1">'[25]Download Sheet'!#REF!</definedName>
    <definedName name="BLPR3920040130171914282_7_8" hidden="1">'[25]Download Sheet'!#REF!</definedName>
    <definedName name="BLPR3920040130171914282_8_8" hidden="1">'[25]Download Sheet'!#REF!</definedName>
    <definedName name="BLPR4020040130171936619" hidden="1">'[25]Download Sheet'!#REF!</definedName>
    <definedName name="BLPR4020040130171936619_1_8" hidden="1">'[25]Download Sheet'!#REF!</definedName>
    <definedName name="BLPR4020040130171936619_2_8" hidden="1">'[25]Download Sheet'!#REF!</definedName>
    <definedName name="BLPR4020040130171936619_3_8" hidden="1">'[25]Download Sheet'!#REF!</definedName>
    <definedName name="BLPR4020040130171936619_4_8" hidden="1">'[25]Download Sheet'!#REF!</definedName>
    <definedName name="BLPR4020040130171936619_5_8" hidden="1">'[25]Download Sheet'!#REF!</definedName>
    <definedName name="BLPR4020040130171936619_6_8" hidden="1">'[25]Download Sheet'!#REF!</definedName>
    <definedName name="BLPR4020040130171936619_7_8" hidden="1">'[25]Download Sheet'!#REF!</definedName>
    <definedName name="BLPR4020040130171936619_8_8" hidden="1">'[25]Download Sheet'!#REF!</definedName>
    <definedName name="BLPR4120040130171947968" hidden="1">'[25]Download Sheet'!#REF!</definedName>
    <definedName name="BLPR4120040130171947968_1_8" hidden="1">'[25]Download Sheet'!#REF!</definedName>
    <definedName name="BLPR4120040130171947968_2_8" hidden="1">'[25]Download Sheet'!#REF!</definedName>
    <definedName name="BLPR4120040130171947968_3_8" hidden="1">'[25]Download Sheet'!#REF!</definedName>
    <definedName name="BLPR4120040130171947968_4_8" hidden="1">'[25]Download Sheet'!#REF!</definedName>
    <definedName name="BLPR4120040130171947968_5_8" hidden="1">'[25]Download Sheet'!#REF!</definedName>
    <definedName name="BLPR4120040130171947968_6_8" hidden="1">'[25]Download Sheet'!#REF!</definedName>
    <definedName name="BLPR4120040130171947968_7_8" hidden="1">'[25]Download Sheet'!#REF!</definedName>
    <definedName name="BLPR4120040130171947968_8_8" hidden="1">'[25]Download Sheet'!#REF!</definedName>
    <definedName name="BLPR420040204201601667" hidden="1">'[25]Download Sheet'!#REF!</definedName>
    <definedName name="BLPR420040204201601667_1_1" hidden="1">'[25]Download Sheet'!#REF!</definedName>
    <definedName name="BLPR420040205162630481" hidden="1">'[25]Download Sheet'!#REF!</definedName>
    <definedName name="BLPR420040205162630481_1_8" hidden="1">'[25]Download Sheet'!#REF!</definedName>
    <definedName name="BLPR420040205162630481_2_8" hidden="1">'[25]Download Sheet'!#REF!</definedName>
    <definedName name="BLPR420040205162630481_3_8" hidden="1">'[25]Download Sheet'!#REF!</definedName>
    <definedName name="BLPR420040205162630481_4_8" hidden="1">'[25]Download Sheet'!#REF!</definedName>
    <definedName name="BLPR420040205162630481_5_8" hidden="1">'[25]Download Sheet'!#REF!</definedName>
    <definedName name="BLPR420040205162630481_6_8" hidden="1">'[25]Download Sheet'!#REF!</definedName>
    <definedName name="BLPR420040205162630481_7_8" hidden="1">'[25]Download Sheet'!#REF!</definedName>
    <definedName name="BLPR420040205162630481_8_8" hidden="1">'[25]Download Sheet'!#REF!</definedName>
    <definedName name="BLPR4220040130171953095" hidden="1">'[25]Download Sheet'!#REF!</definedName>
    <definedName name="BLPR4220040130171953095_1_8" hidden="1">'[25]Download Sheet'!#REF!</definedName>
    <definedName name="BLPR4220040130171953095_2_8" hidden="1">'[25]Download Sheet'!#REF!</definedName>
    <definedName name="BLPR4220040130171953095_3_8" hidden="1">'[25]Download Sheet'!#REF!</definedName>
    <definedName name="BLPR4220040130171953095_4_8" hidden="1">'[25]Download Sheet'!#REF!</definedName>
    <definedName name="BLPR4220040130171953095_5_8" hidden="1">'[25]Download Sheet'!#REF!</definedName>
    <definedName name="BLPR4220040130171953095_6_8" hidden="1">'[25]Download Sheet'!#REF!</definedName>
    <definedName name="BLPR4220040130171953095_7_8" hidden="1">'[25]Download Sheet'!#REF!</definedName>
    <definedName name="BLPR4220040130171953095_8_8" hidden="1">'[25]Download Sheet'!#REF!</definedName>
    <definedName name="BLPR4320040130171958660" hidden="1">'[25]Download Sheet'!#REF!</definedName>
    <definedName name="BLPR4320040130171958660_1_8" hidden="1">'[25]Download Sheet'!#REF!</definedName>
    <definedName name="BLPR4320040130171958660_2_8" hidden="1">'[25]Download Sheet'!#REF!</definedName>
    <definedName name="BLPR4320040130171958660_3_8" hidden="1">'[25]Download Sheet'!#REF!</definedName>
    <definedName name="BLPR4320040130171958660_4_8" hidden="1">'[25]Download Sheet'!#REF!</definedName>
    <definedName name="BLPR4320040130171958660_5_8" hidden="1">'[25]Download Sheet'!#REF!</definedName>
    <definedName name="BLPR4320040130171958660_6_8" hidden="1">'[25]Download Sheet'!#REF!</definedName>
    <definedName name="BLPR4320040130171958660_7_8" hidden="1">'[25]Download Sheet'!#REF!</definedName>
    <definedName name="BLPR4320040130171958660_8_8" hidden="1">'[25]Download Sheet'!#REF!</definedName>
    <definedName name="BLPR4420040130172003115" hidden="1">'[25]Download Sheet'!#REF!</definedName>
    <definedName name="BLPR4420040130172003115_1_8" hidden="1">'[25]Download Sheet'!#REF!</definedName>
    <definedName name="BLPR4420040130172003115_2_8" hidden="1">'[25]Download Sheet'!#REF!</definedName>
    <definedName name="BLPR4420040130172003115_3_8" hidden="1">'[25]Download Sheet'!#REF!</definedName>
    <definedName name="BLPR4420040130172003115_4_8" hidden="1">'[25]Download Sheet'!#REF!</definedName>
    <definedName name="BLPR4420040130172003115_5_8" hidden="1">'[25]Download Sheet'!#REF!</definedName>
    <definedName name="BLPR4420040130172003115_6_8" hidden="1">'[25]Download Sheet'!#REF!</definedName>
    <definedName name="BLPR4420040130172003115_7_8" hidden="1">'[25]Download Sheet'!#REF!</definedName>
    <definedName name="BLPR4420040130172003115_8_8" hidden="1">'[25]Download Sheet'!#REF!</definedName>
    <definedName name="BLPR4520040130172016464" hidden="1">'[25]Download Sheet'!#REF!</definedName>
    <definedName name="BLPR4520040130172016464_1_8" hidden="1">'[25]Download Sheet'!#REF!</definedName>
    <definedName name="BLPR4520040130172016464_2_8" hidden="1">'[25]Download Sheet'!#REF!</definedName>
    <definedName name="BLPR4520040130172016464_3_8" hidden="1">'[25]Download Sheet'!#REF!</definedName>
    <definedName name="BLPR4520040130172016464_4_8" hidden="1">'[25]Download Sheet'!#REF!</definedName>
    <definedName name="BLPR4520040130172016464_5_8" hidden="1">'[25]Download Sheet'!#REF!</definedName>
    <definedName name="BLPR4520040130172016464_6_8" hidden="1">'[25]Download Sheet'!#REF!</definedName>
    <definedName name="BLPR4520040130172016464_7_8" hidden="1">'[25]Download Sheet'!#REF!</definedName>
    <definedName name="BLPR4520040130172016464_8_8" hidden="1">'[25]Download Sheet'!#REF!</definedName>
    <definedName name="BLPR4620040130231314082" hidden="1">'[25]Download Sheet'!#REF!</definedName>
    <definedName name="BLPR4620040130231314082_1_8" hidden="1">'[25]Download Sheet'!#REF!</definedName>
    <definedName name="BLPR4620040130231314082_2_8" hidden="1">'[25]Download Sheet'!#REF!</definedName>
    <definedName name="BLPR4620040130231314082_3_8" hidden="1">'[25]Download Sheet'!#REF!</definedName>
    <definedName name="BLPR4620040130231314082_4_8" hidden="1">'[25]Download Sheet'!#REF!</definedName>
    <definedName name="BLPR4620040130231314082_5_8" hidden="1">'[25]Download Sheet'!#REF!</definedName>
    <definedName name="BLPR4620040130231314082_6_8" hidden="1">'[25]Download Sheet'!#REF!</definedName>
    <definedName name="BLPR4620040130231314082_7_8" hidden="1">'[25]Download Sheet'!#REF!</definedName>
    <definedName name="BLPR4620040130231314082_8_8" hidden="1">'[25]Download Sheet'!#REF!</definedName>
    <definedName name="BLPR520040204201726358" hidden="1">'[25]Download Sheet'!#REF!</definedName>
    <definedName name="BLPR520040204201726358_1_8" hidden="1">'[25]Download Sheet'!#REF!</definedName>
    <definedName name="BLPR520040204201726358_2_8" hidden="1">'[25]Download Sheet'!#REF!</definedName>
    <definedName name="BLPR520040204201726358_3_8" hidden="1">'[25]Download Sheet'!#REF!</definedName>
    <definedName name="BLPR520040204201726358_4_8" hidden="1">'[25]Download Sheet'!#REF!</definedName>
    <definedName name="BLPR520040204201726358_5_8" hidden="1">'[25]Download Sheet'!#REF!</definedName>
    <definedName name="BLPR520040204201726358_6_8" hidden="1">'[25]Download Sheet'!#REF!</definedName>
    <definedName name="BLPR520040204201726358_7_8" hidden="1">'[25]Download Sheet'!#REF!</definedName>
    <definedName name="BLPR520040204201726358_8_8" hidden="1">'[25]Download Sheet'!#REF!</definedName>
    <definedName name="BLPR520040205162639919" hidden="1">'[25]Download Sheet'!#REF!</definedName>
    <definedName name="BLPR520040205162639919_1_8" hidden="1">'[25]Download Sheet'!#REF!</definedName>
    <definedName name="BLPR520040205162639919_2_8" hidden="1">'[25]Download Sheet'!#REF!</definedName>
    <definedName name="BLPR520040205162639919_3_8" hidden="1">'[25]Download Sheet'!#REF!</definedName>
    <definedName name="BLPR520040205162639919_4_8" hidden="1">'[25]Download Sheet'!#REF!</definedName>
    <definedName name="BLPR520040205162639919_5_8" hidden="1">'[25]Download Sheet'!#REF!</definedName>
    <definedName name="BLPR520040205162639919_6_8" hidden="1">'[25]Download Sheet'!#REF!</definedName>
    <definedName name="BLPR520040205162639919_7_8" hidden="1">'[25]Download Sheet'!#REF!</definedName>
    <definedName name="BLPR520040205162639919_8_8" hidden="1">'[25]Download Sheet'!#REF!</definedName>
    <definedName name="BNE_MESSAGES_HIDDEN" localSheetId="10" hidden="1">#REF!</definedName>
    <definedName name="BNE_MESSAGES_HIDDEN" localSheetId="8" hidden="1">#REF!</definedName>
    <definedName name="BNE_MESSAGES_HIDDEN" localSheetId="11" hidden="1">#REF!</definedName>
    <definedName name="BNE_MESSAGES_HIDDEN" hidden="1">#REF!</definedName>
    <definedName name="Capital_Cost_Year">2018</definedName>
    <definedName name="Capital_Inflation">1%</definedName>
    <definedName name="CBWorkbookPriority" hidden="1">-1527382509</definedName>
    <definedName name="CC_toggle">1</definedName>
    <definedName name="ccccccccccccccc" localSheetId="10" hidden="1">#REF!</definedName>
    <definedName name="ccccccccccccccc" localSheetId="8" hidden="1">#REF!</definedName>
    <definedName name="ccccccccccccccc" localSheetId="11" hidden="1">#REF!</definedName>
    <definedName name="ccccccccccccccc" hidden="1">#REF!</definedName>
    <definedName name="CIQWBGuid" localSheetId="10" hidden="1">"fc017ab3-f96c-4688-bf39-8268c8530c8e"</definedName>
    <definedName name="CIQWBGuid" localSheetId="11" hidden="1">"fc017ab3-f96c-4688-bf39-8268c8530c8e"</definedName>
    <definedName name="CIQWBGuid" hidden="1">"fc017ab3-f96c-4688-bf39-8268c8530c8e"</definedName>
    <definedName name="D" localSheetId="10" hidden="1">#REF!</definedName>
    <definedName name="D" localSheetId="8" hidden="1">#REF!</definedName>
    <definedName name="D" localSheetId="11" hidden="1">#REF!</definedName>
    <definedName name="D" hidden="1">#REF!</definedName>
    <definedName name="DATA_02" localSheetId="8" hidden="1">#REF!</definedName>
    <definedName name="DATA_02" hidden="1">#REF!</definedName>
    <definedName name="DATA_08" localSheetId="8" hidden="1">#REF!</definedName>
    <definedName name="DATA_08" hidden="1">#REF!</definedName>
    <definedName name="dd" localSheetId="10" hidden="1">#REF!</definedName>
    <definedName name="dd" localSheetId="8" hidden="1">#REF!</definedName>
    <definedName name="dd" localSheetId="11" hidden="1">#REF!</definedName>
    <definedName name="dd" hidden="1">#REF!</definedName>
    <definedName name="dddddddddddd" localSheetId="10" hidden="1">'[26]Month 8'!#REF!</definedName>
    <definedName name="dddddddddddd" localSheetId="11" hidden="1">'[26]Month 8'!#REF!</definedName>
    <definedName name="dddddddddddd" hidden="1">'[26]Month 8'!#REF!</definedName>
    <definedName name="dddddddddddddddddddddddddddddddd" localSheetId="10" hidden="1">'[22]Backup data'!#REF!</definedName>
    <definedName name="dddddddddddddddddddddddddddddddd" localSheetId="11" hidden="1">'[22]Backup data'!#REF!</definedName>
    <definedName name="dddddddddddddddddddddddddddddddd" hidden="1">'[22]Backup data'!#REF!</definedName>
    <definedName name="ed" localSheetId="10" hidden="1">#REF!</definedName>
    <definedName name="ed" localSheetId="8" hidden="1">#REF!</definedName>
    <definedName name="ed" localSheetId="11" hidden="1">#REF!</definedName>
    <definedName name="ed" hidden="1">#REF!</definedName>
    <definedName name="eded" localSheetId="10" hidden="1">#REF!</definedName>
    <definedName name="eded" localSheetId="8" hidden="1">#REF!</definedName>
    <definedName name="eded" localSheetId="11" hidden="1">#REF!</definedName>
    <definedName name="eded" hidden="1">#REF!</definedName>
    <definedName name="eeee" localSheetId="10" hidden="1">'[13]Base and Growth PVs'!#REF!</definedName>
    <definedName name="eeee" localSheetId="8" hidden="1">'[13]Base and Growth PVs'!#REF!</definedName>
    <definedName name="eeee" localSheetId="11" hidden="1">'[13]Base and Growth PVs'!#REF!</definedName>
    <definedName name="eeee" localSheetId="7" hidden="1">'[13]Base and Growth PVs'!#REF!</definedName>
    <definedName name="eeee" hidden="1">'[13]Base and Growth PVs'!#REF!</definedName>
    <definedName name="EEEEEEEEEEE" localSheetId="10" hidden="1">#REF!</definedName>
    <definedName name="EEEEEEEEEEE" localSheetId="8" hidden="1">#REF!</definedName>
    <definedName name="EEEEEEEEEEE" localSheetId="11" hidden="1">#REF!</definedName>
    <definedName name="EEEEEEEEEEE" hidden="1">#REF!</definedName>
    <definedName name="eeeeeeeeeeee" localSheetId="10" hidden="1">'[26]Month 8'!#REF!</definedName>
    <definedName name="eeeeeeeeeeee" localSheetId="8" hidden="1">'[26]Month 8'!#REF!</definedName>
    <definedName name="eeeeeeeeeeee" localSheetId="11" hidden="1">'[26]Month 8'!#REF!</definedName>
    <definedName name="eeeeeeeeeeee" localSheetId="7" hidden="1">'[26]Month 8'!#REF!</definedName>
    <definedName name="eeeeeeeeeeee" hidden="1">'[26]Month 8'!#REF!</definedName>
    <definedName name="eeeeeeeeeeeee" localSheetId="10" hidden="1">#REF!</definedName>
    <definedName name="eeeeeeeeeeeee" localSheetId="8" hidden="1">#REF!</definedName>
    <definedName name="eeeeeeeeeeeee" localSheetId="11" hidden="1">#REF!</definedName>
    <definedName name="eeeeeeeeeeeee" hidden="1">#REF!</definedName>
    <definedName name="elec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V__LASTREFTIME__" hidden="1">38579.6373148148</definedName>
    <definedName name="Exh5.2" localSheetId="10" hidden="1">#REF!</definedName>
    <definedName name="Exh5.2" localSheetId="8" hidden="1">#REF!</definedName>
    <definedName name="Exh5.2" localSheetId="11" hidden="1">#REF!</definedName>
    <definedName name="Exh5.2" hidden="1">#REF!</definedName>
    <definedName name="f" localSheetId="10" hidden="1">{#N/A,#N/A,FALSE,"FY97P1";#N/A,#N/A,FALSE,"FY97Z312";#N/A,#N/A,FALSE,"FY97LRBC";#N/A,#N/A,FALSE,"FY97O";#N/A,#N/A,FALSE,"FY97DAM"}</definedName>
    <definedName name="f" localSheetId="3" hidden="1">{#N/A,#N/A,FALSE,"FY97P1";#N/A,#N/A,FALSE,"FY97Z312";#N/A,#N/A,FALSE,"FY97LRBC";#N/A,#N/A,FALSE,"FY97O";#N/A,#N/A,FALSE,"FY97DAM"}</definedName>
    <definedName name="f" localSheetId="8" hidden="1">{#N/A,#N/A,FALSE,"FY97P1";#N/A,#N/A,FALSE,"FY97Z312";#N/A,#N/A,FALSE,"FY97LRBC";#N/A,#N/A,FALSE,"FY97O";#N/A,#N/A,FALSE,"FY97DAM"}</definedName>
    <definedName name="f" localSheetId="11" hidden="1">{#N/A,#N/A,FALSE,"FY97P1";#N/A,#N/A,FALSE,"FY97Z312";#N/A,#N/A,FALSE,"FY97LRBC";#N/A,#N/A,FALSE,"FY97O";#N/A,#N/A,FALSE,"FY97DAM"}</definedName>
    <definedName name="f" localSheetId="7" hidden="1">{#N/A,#N/A,FALSE,"FY97P1";#N/A,#N/A,FALSE,"FY97Z312";#N/A,#N/A,FALSE,"FY97LRBC";#N/A,#N/A,FALSE,"FY97O";#N/A,#N/A,FALSE,"FY97DAM"}</definedName>
    <definedName name="f" hidden="1">{#N/A,#N/A,FALSE,"FY97P1";#N/A,#N/A,FALSE,"FY97Z312";#N/A,#N/A,FALSE,"FY97LRBC";#N/A,#N/A,FALSE,"FY97O";#N/A,#N/A,FALSE,"FY97DAM"}</definedName>
    <definedName name="ffff" localSheetId="10" hidden="1">#REF!</definedName>
    <definedName name="ffff" localSheetId="8" hidden="1">#REF!</definedName>
    <definedName name="ffff" localSheetId="11" hidden="1">#REF!</definedName>
    <definedName name="ffff" hidden="1">#REF!</definedName>
    <definedName name="G" localSheetId="10" hidden="1">#REF!</definedName>
    <definedName name="G" localSheetId="8" hidden="1">#REF!</definedName>
    <definedName name="G" localSheetId="11" hidden="1">#REF!</definedName>
    <definedName name="G" hidden="1">#REF!</definedName>
    <definedName name="GLDTL" hidden="1">'[27]RPL DETAIL'!$A$1:$F$62</definedName>
    <definedName name="H" localSheetId="10" hidden="1">#REF!</definedName>
    <definedName name="H" localSheetId="8" hidden="1">#REF!</definedName>
    <definedName name="H" localSheetId="11" hidden="1">#REF!</definedName>
    <definedName name="H" hidden="1">#REF!</definedName>
    <definedName name="hhh" localSheetId="10" hidden="1">#REF!</definedName>
    <definedName name="hhh" localSheetId="8" hidden="1">#REF!</definedName>
    <definedName name="hhh" localSheetId="11" hidden="1">#REF!</definedName>
    <definedName name="hhh" hidden="1">#REF!</definedName>
    <definedName name="hhhhhhhhhhhh" localSheetId="10" hidden="1">[22]Download!#REF!</definedName>
    <definedName name="hhhhhhhhhhhh" localSheetId="11" hidden="1">[22]Download!#REF!</definedName>
    <definedName name="hhhhhhhhhhhh" hidden="1">[22]Download!#REF!</definedName>
    <definedName name="HTML_CodePage" hidden="1">1252</definedName>
    <definedName name="HTML_Control" localSheetId="10" hidden="1">{"'Sheet1'!$A$1:$J$121"}</definedName>
    <definedName name="HTML_Control" localSheetId="3" hidden="1">{"'Sheet1'!$A$1:$J$121"}</definedName>
    <definedName name="HTML_Control" localSheetId="8" hidden="1">{"'Sheet1'!$A$1:$J$121"}</definedName>
    <definedName name="HTML_Control" localSheetId="11" hidden="1">{"'Sheet1'!$A$1:$J$121"}</definedName>
    <definedName name="HTML_Control" localSheetId="7" hidden="1">{"'Sheet1'!$A$1:$J$121"}</definedName>
    <definedName name="HTML_Control" hidden="1">{"'Sheet1'!$A$1:$J$121"}</definedName>
    <definedName name="HTML_Control_1_1" localSheetId="8" hidden="1">{"'Output'!$B$1:$E$30"}</definedName>
    <definedName name="HTML_Control_1_1" localSheetId="11" hidden="1">{"'Output'!$B$1:$E$30"}</definedName>
    <definedName name="HTML_Control_1_1" localSheetId="7" hidden="1">{"'Output'!$B$1:$E$30"}</definedName>
    <definedName name="HTML_Control_1_1" hidden="1">{"'Output'!$B$1:$E$30"}</definedName>
    <definedName name="HTML_Control_2" localSheetId="8" hidden="1">{"'Output'!$B$1:$E$30"}</definedName>
    <definedName name="HTML_Control_2" localSheetId="11" hidden="1">{"'Output'!$B$1:$E$30"}</definedName>
    <definedName name="HTML_Control_2" localSheetId="7" hidden="1">{"'Output'!$B$1:$E$30"}</definedName>
    <definedName name="HTML_Control_2" hidden="1">{"'Output'!$B$1:$E$30"}</definedName>
    <definedName name="HTML_Control_2_1" localSheetId="8" hidden="1">{"'Output'!$B$1:$E$30"}</definedName>
    <definedName name="HTML_Control_2_1" localSheetId="11" hidden="1">{"'Output'!$B$1:$E$30"}</definedName>
    <definedName name="HTML_Control_2_1" localSheetId="7" hidden="1">{"'Output'!$B$1:$E$30"}</definedName>
    <definedName name="HTML_Control_2_1" hidden="1">{"'Output'!$B$1:$E$30"}</definedName>
    <definedName name="HTML_Control_3" localSheetId="8" hidden="1">{"'Output'!$B$1:$E$30"}</definedName>
    <definedName name="HTML_Control_3" localSheetId="11" hidden="1">{"'Output'!$B$1:$E$30"}</definedName>
    <definedName name="HTML_Control_3" localSheetId="7" hidden="1">{"'Output'!$B$1:$E$30"}</definedName>
    <definedName name="HTML_Control_3" hidden="1">{"'Output'!$B$1:$E$30"}</definedName>
    <definedName name="HTML_Control_4" localSheetId="8" hidden="1">{"'Output'!$B$1:$E$30"}</definedName>
    <definedName name="HTML_Control_4" localSheetId="11" hidden="1">{"'Output'!$B$1:$E$30"}</definedName>
    <definedName name="HTML_Control_4" localSheetId="7" hidden="1">{"'Output'!$B$1:$E$30"}</definedName>
    <definedName name="HTML_Control_4" hidden="1">{"'Output'!$B$1:$E$30"}</definedName>
    <definedName name="HTML_Control_5" localSheetId="8" hidden="1">{"'Output'!$B$1:$E$30"}</definedName>
    <definedName name="HTML_Control_5" localSheetId="11" hidden="1">{"'Output'!$B$1:$E$30"}</definedName>
    <definedName name="HTML_Control_5" localSheetId="7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flation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0" hidden="1">43326.0086458333</definedName>
    <definedName name="IQ_NAMES_REVISION_DATE_" localSheetId="11" hidden="1">43326.0086458333</definedName>
    <definedName name="IQ_NAMES_REVISION_DATE_" hidden="1">43326.0086458333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jjjj" localSheetId="10" hidden="1">#REF!</definedName>
    <definedName name="jjjj" localSheetId="8" hidden="1">#REF!</definedName>
    <definedName name="jjjj" localSheetId="11" hidden="1">#REF!</definedName>
    <definedName name="jjjj" hidden="1">#REF!</definedName>
    <definedName name="jjjjjjjjjjj" localSheetId="10" hidden="1">[22]Download!#REF!</definedName>
    <definedName name="jjjjjjjjjjj" localSheetId="8" hidden="1">[22]Download!#REF!</definedName>
    <definedName name="jjjjjjjjjjj" localSheetId="11" hidden="1">[22]Download!#REF!</definedName>
    <definedName name="jjjjjjjjjjj" localSheetId="7" hidden="1">[22]Download!#REF!</definedName>
    <definedName name="jjjjjjjjjjj" hidden="1">[22]Download!#REF!</definedName>
    <definedName name="jkjk" localSheetId="10" hidden="1">'[22]Backup data'!#REF!</definedName>
    <definedName name="jkjk" localSheetId="11" hidden="1">'[22]Backup data'!#REF!</definedName>
    <definedName name="jkjk" hidden="1">'[22]Backup data'!#REF!</definedName>
    <definedName name="jskljsljslk" localSheetId="2" hidden="1">TextRefCopy1</definedName>
    <definedName name="jskljsljslk" localSheetId="10" hidden="1">TextRefCopy1</definedName>
    <definedName name="jskljsljslk" localSheetId="3" hidden="1">TextRefCopy1</definedName>
    <definedName name="jskljsljslk" localSheetId="8" hidden="1">TextRefCopy1</definedName>
    <definedName name="jskljsljslk" localSheetId="11" hidden="1">TextRefCopy1</definedName>
    <definedName name="jskljsljslk" localSheetId="7" hidden="1">TextRefCopy1</definedName>
    <definedName name="jskljsljslk" hidden="1">TextRefCopy1</definedName>
    <definedName name="K2_WBEVMODE" hidden="1">-1</definedName>
    <definedName name="kjdfj" localSheetId="10" hidden="1">{#N/A,#N/A,FALSE,"FY97P1";#N/A,#N/A,FALSE,"FY97Z312";#N/A,#N/A,FALSE,"FY97LRBC";#N/A,#N/A,FALSE,"FY97O";#N/A,#N/A,FALSE,"FY97DAM"}</definedName>
    <definedName name="kjdfj" localSheetId="3" hidden="1">{#N/A,#N/A,FALSE,"FY97P1";#N/A,#N/A,FALSE,"FY97Z312";#N/A,#N/A,FALSE,"FY97LRBC";#N/A,#N/A,FALSE,"FY97O";#N/A,#N/A,FALSE,"FY97DAM"}</definedName>
    <definedName name="kjdfj" localSheetId="8" hidden="1">{#N/A,#N/A,FALSE,"FY97P1";#N/A,#N/A,FALSE,"FY97Z312";#N/A,#N/A,FALSE,"FY97LRBC";#N/A,#N/A,FALSE,"FY97O";#N/A,#N/A,FALSE,"FY97DAM"}</definedName>
    <definedName name="kjdfj" localSheetId="11" hidden="1">{#N/A,#N/A,FALSE,"FY97P1";#N/A,#N/A,FALSE,"FY97Z312";#N/A,#N/A,FALSE,"FY97LRBC";#N/A,#N/A,FALSE,"FY97O";#N/A,#N/A,FALSE,"FY97DAM"}</definedName>
    <definedName name="kjdfj" localSheetId="7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jjjjjjjjjjjjj" hidden="1">'[28]Download Sheet'!#REF!</definedName>
    <definedName name="kjkk" localSheetId="10" hidden="1">#REF!</definedName>
    <definedName name="kjkk" localSheetId="8" hidden="1">#REF!</definedName>
    <definedName name="kjkk" localSheetId="11" hidden="1">#REF!</definedName>
    <definedName name="kjkk" hidden="1">#REF!</definedName>
    <definedName name="kkkk" localSheetId="10" hidden="1">'[28]Download Sheet'!#REF!</definedName>
    <definedName name="kkkk" localSheetId="8" hidden="1">'[28]Download Sheet'!#REF!</definedName>
    <definedName name="kkkk" localSheetId="11" hidden="1">'[28]Download Sheet'!#REF!</definedName>
    <definedName name="kkkk" hidden="1">'[28]Download Sheet'!#REF!</definedName>
    <definedName name="kkkkkkkk" localSheetId="10" hidden="1">{#N/A,#N/A,FALSE,"FY97P1";#N/A,#N/A,FALSE,"FY97Z312";#N/A,#N/A,FALSE,"FY97LRBC";#N/A,#N/A,FALSE,"FY97O";#N/A,#N/A,FALSE,"FY97DAM"}</definedName>
    <definedName name="kkkkkkkk" localSheetId="3" hidden="1">{#N/A,#N/A,FALSE,"FY97P1";#N/A,#N/A,FALSE,"FY97Z312";#N/A,#N/A,FALSE,"FY97LRBC";#N/A,#N/A,FALSE,"FY97O";#N/A,#N/A,FALSE,"FY97DAM"}</definedName>
    <definedName name="kkkkkkkk" localSheetId="8" hidden="1">{#N/A,#N/A,FALSE,"FY97P1";#N/A,#N/A,FALSE,"FY97Z312";#N/A,#N/A,FALSE,"FY97LRBC";#N/A,#N/A,FALSE,"FY97O";#N/A,#N/A,FALSE,"FY97DAM"}</definedName>
    <definedName name="kkkkkkkk" localSheetId="11" hidden="1">{#N/A,#N/A,FALSE,"FY97P1";#N/A,#N/A,FALSE,"FY97Z312";#N/A,#N/A,FALSE,"FY97LRBC";#N/A,#N/A,FALSE,"FY97O";#N/A,#N/A,FALSE,"FY97DAM"}</definedName>
    <definedName name="kkkkkkkk" localSheetId="7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kkkkkkkkkkk" hidden="1">'[22]Backup data'!#REF!</definedName>
    <definedName name="kkkkkkkkkkkkkk" hidden="1">[22]Download!#REF!</definedName>
    <definedName name="kkkkkkkkkkkkkkkll" hidden="1">'[22]Backup data'!#REF!</definedName>
    <definedName name="Last_Row" hidden="1">#N/A</definedName>
    <definedName name="lll" localSheetId="10" hidden="1">#REF!</definedName>
    <definedName name="lll" localSheetId="8" hidden="1">#REF!</definedName>
    <definedName name="lll" localSheetId="11" hidden="1">#REF!</definedName>
    <definedName name="lll" hidden="1">#REF!</definedName>
    <definedName name="LLLLLL" localSheetId="10" hidden="1">'[24]Backup data'!#REF!</definedName>
    <definedName name="LLLLLL" localSheetId="8" hidden="1">'[24]Backup data'!#REF!</definedName>
    <definedName name="LLLLLL" localSheetId="11" hidden="1">'[24]Backup data'!#REF!</definedName>
    <definedName name="LLLLLL" hidden="1">'[24]Backup data'!#REF!</definedName>
    <definedName name="lllllllll" localSheetId="10" hidden="1">#REF!</definedName>
    <definedName name="lllllllll" localSheetId="8" hidden="1">#REF!</definedName>
    <definedName name="lllllllll" localSheetId="11" hidden="1">#REF!</definedName>
    <definedName name="lllllllll" hidden="1">#REF!</definedName>
    <definedName name="lllllllllllllll" localSheetId="10" hidden="1">'[13]Base and Growth PVs'!#REF!</definedName>
    <definedName name="lllllllllllllll" localSheetId="8" hidden="1">'[13]Base and Growth PVs'!#REF!</definedName>
    <definedName name="lllllllllllllll" localSheetId="11" hidden="1">'[13]Base and Growth PVs'!#REF!</definedName>
    <definedName name="lllllllllllllll" hidden="1">'[13]Base and Growth PVs'!#REF!</definedName>
    <definedName name="llllllllllllllllllllll" localSheetId="10" hidden="1">#REF!</definedName>
    <definedName name="llllllllllllllllllllll" localSheetId="8" hidden="1">#REF!</definedName>
    <definedName name="llllllllllllllllllllll" localSheetId="11" hidden="1">#REF!</definedName>
    <definedName name="llllllllllllllllllllll" hidden="1">#REF!</definedName>
    <definedName name="llo" localSheetId="10" hidden="1">#REF!</definedName>
    <definedName name="llo" localSheetId="8" hidden="1">#REF!</definedName>
    <definedName name="llo" localSheetId="11" hidden="1">#REF!</definedName>
    <definedName name="llo" hidden="1">#REF!</definedName>
    <definedName name="MLNK02347c98abe94ba9b3722615bcea76f2" localSheetId="10" hidden="1" xml:space="preserve"> [29]EX_13WCF!#REF!</definedName>
    <definedName name="MLNK02347c98abe94ba9b3722615bcea76f2" localSheetId="11" hidden="1" xml:space="preserve"> [29]EX_13WCF!#REF!</definedName>
    <definedName name="MLNK02347c98abe94ba9b3722615bcea76f2" hidden="1" xml:space="preserve"> [29]EX_13WCF!#REF!</definedName>
    <definedName name="MLNK0262065a669a4e968930c4526b0f05b7" localSheetId="10" hidden="1">#REF!</definedName>
    <definedName name="MLNK0262065a669a4e968930c4526b0f05b7" localSheetId="3" hidden="1">#REF!</definedName>
    <definedName name="MLNK0262065a669a4e968930c4526b0f05b7" localSheetId="8" hidden="1">#REF!</definedName>
    <definedName name="MLNK0262065a669a4e968930c4526b0f05b7" localSheetId="11" hidden="1">#REF!</definedName>
    <definedName name="MLNK0262065a669a4e968930c4526b0f05b7" hidden="1">#REF!</definedName>
    <definedName name="MLNK02b791ed46a444d090833f3ce58fb934" localSheetId="8" hidden="1">#REF!</definedName>
    <definedName name="MLNK02b791ed46a444d090833f3ce58fb934" hidden="1">#REF!</definedName>
    <definedName name="MLNK03e2a036ea3842699f83504ad8f7a5e5" localSheetId="10" hidden="1">#REF!</definedName>
    <definedName name="MLNK03e2a036ea3842699f83504ad8f7a5e5" localSheetId="8" hidden="1">#REF!</definedName>
    <definedName name="MLNK03e2a036ea3842699f83504ad8f7a5e5" localSheetId="11" hidden="1">#REF!</definedName>
    <definedName name="MLNK03e2a036ea3842699f83504ad8f7a5e5" hidden="1">#REF!</definedName>
    <definedName name="MLNK03f04ae1071849c79db6439ced8d26c9" localSheetId="10" hidden="1">#REF!</definedName>
    <definedName name="MLNK03f04ae1071849c79db6439ced8d26c9" localSheetId="8" hidden="1">#REF!</definedName>
    <definedName name="MLNK03f04ae1071849c79db6439ced8d26c9" hidden="1">#REF!</definedName>
    <definedName name="MLNK043c1e5a207443eb8f069dbd2d6ecc64" localSheetId="8" hidden="1">#REF!</definedName>
    <definedName name="MLNK043c1e5a207443eb8f069dbd2d6ecc64" hidden="1">#REF!</definedName>
    <definedName name="MLNK045375ee4a4548bfa72023ea2f1316ae" localSheetId="8" hidden="1">#REF!</definedName>
    <definedName name="MLNK045375ee4a4548bfa72023ea2f1316ae" hidden="1">#REF!</definedName>
    <definedName name="MLNK0465b191f0134334bd6cbd9eb298cdb0" localSheetId="8" hidden="1">#REF!</definedName>
    <definedName name="MLNK0465b191f0134334bd6cbd9eb298cdb0" hidden="1">#REF!</definedName>
    <definedName name="MLNK04937c37b0f64af18046c31d5cfeff71" localSheetId="8" hidden="1">#REF!</definedName>
    <definedName name="MLNK04937c37b0f64af18046c31d5cfeff71" hidden="1">#REF!</definedName>
    <definedName name="MLNK049828f2a61e436099b2fb772a17356d" localSheetId="8" hidden="1">#REF!</definedName>
    <definedName name="MLNK049828f2a61e436099b2fb772a17356d" hidden="1">#REF!</definedName>
    <definedName name="MLNK056d8357b79d4eb69caae6809440ae9e" localSheetId="10" hidden="1">#REF!</definedName>
    <definedName name="MLNK056d8357b79d4eb69caae6809440ae9e" localSheetId="8" hidden="1">#REF!</definedName>
    <definedName name="MLNK056d8357b79d4eb69caae6809440ae9e" localSheetId="11" hidden="1">#REF!</definedName>
    <definedName name="MLNK056d8357b79d4eb69caae6809440ae9e" hidden="1">#REF!</definedName>
    <definedName name="MLNK05b5f32848ca4ccdb53f467a4f8fcabf" localSheetId="10" hidden="1">#REF!</definedName>
    <definedName name="MLNK05b5f32848ca4ccdb53f467a4f8fcabf" localSheetId="8" hidden="1">#REF!</definedName>
    <definedName name="MLNK05b5f32848ca4ccdb53f467a4f8fcabf" hidden="1">#REF!</definedName>
    <definedName name="MLNK0624affccd53448b9975d0cd5b3b311c" localSheetId="10" hidden="1">#REF!</definedName>
    <definedName name="MLNK0624affccd53448b9975d0cd5b3b311c" localSheetId="8" hidden="1">#REF!</definedName>
    <definedName name="MLNK0624affccd53448b9975d0cd5b3b311c" localSheetId="11" hidden="1">#REF!</definedName>
    <definedName name="MLNK0624affccd53448b9975d0cd5b3b311c" hidden="1">#REF!</definedName>
    <definedName name="MLNK066d45cd0eaf423f82fea9c28653ace1" localSheetId="10" hidden="1">#REF!</definedName>
    <definedName name="MLNK066d45cd0eaf423f82fea9c28653ace1" localSheetId="8" hidden="1">#REF!</definedName>
    <definedName name="MLNK066d45cd0eaf423f82fea9c28653ace1" hidden="1">#REF!</definedName>
    <definedName name="MLNK06d6f2b802744c6bbacb48586ac5ebe1" localSheetId="10" hidden="1">#REF!</definedName>
    <definedName name="MLNK06d6f2b802744c6bbacb48586ac5ebe1" localSheetId="8" hidden="1">#REF!</definedName>
    <definedName name="MLNK06d6f2b802744c6bbacb48586ac5ebe1" localSheetId="11" hidden="1">#REF!</definedName>
    <definedName name="MLNK06d6f2b802744c6bbacb48586ac5ebe1" hidden="1">#REF!</definedName>
    <definedName name="MLNK06ee92ac18cc4d1cb585ae5a9b158177" localSheetId="10" hidden="1">#REF!</definedName>
    <definedName name="MLNK06ee92ac18cc4d1cb585ae5a9b158177" localSheetId="8" hidden="1">#REF!</definedName>
    <definedName name="MLNK06ee92ac18cc4d1cb585ae5a9b158177" hidden="1">#REF!</definedName>
    <definedName name="MLNK070302756cb64499b49c608764cbc7d5" localSheetId="10" hidden="1">#REF!</definedName>
    <definedName name="MLNK070302756cb64499b49c608764cbc7d5" localSheetId="8" hidden="1">#REF!</definedName>
    <definedName name="MLNK070302756cb64499b49c608764cbc7d5" hidden="1">#REF!</definedName>
    <definedName name="MLNK070aa30f79e64056ae744044db8d4c19" localSheetId="10" hidden="1">#REF!</definedName>
    <definedName name="MLNK070aa30f79e64056ae744044db8d4c19" localSheetId="8" hidden="1">#REF!</definedName>
    <definedName name="MLNK070aa30f79e64056ae744044db8d4c19" localSheetId="11" hidden="1">#REF!</definedName>
    <definedName name="MLNK070aa30f79e64056ae744044db8d4c19" hidden="1">#REF!</definedName>
    <definedName name="MLNK07d9cef4c7c74977abff5d0bf2e93c15" localSheetId="10" hidden="1">#REF!</definedName>
    <definedName name="MLNK07d9cef4c7c74977abff5d0bf2e93c15" localSheetId="8" hidden="1">#REF!</definedName>
    <definedName name="MLNK07d9cef4c7c74977abff5d0bf2e93c15" hidden="1">#REF!</definedName>
    <definedName name="MLNK097feda4769a4bf6847c682bb102e327" localSheetId="10" hidden="1">#REF!</definedName>
    <definedName name="MLNK097feda4769a4bf6847c682bb102e327" localSheetId="8" hidden="1">#REF!</definedName>
    <definedName name="MLNK097feda4769a4bf6847c682bb102e327" localSheetId="11" hidden="1">#REF!</definedName>
    <definedName name="MLNK097feda4769a4bf6847c682bb102e327" hidden="1">#REF!</definedName>
    <definedName name="MLNK09862c159cb148c4997e666ddcf57115" localSheetId="10" hidden="1">#REF!</definedName>
    <definedName name="MLNK09862c159cb148c4997e666ddcf57115" localSheetId="8" hidden="1">#REF!</definedName>
    <definedName name="MLNK09862c159cb148c4997e666ddcf57115" hidden="1">#REF!</definedName>
    <definedName name="MLNK09cca42754934922a07d3a367f92d435" localSheetId="10" hidden="1">#REF!</definedName>
    <definedName name="MLNK09cca42754934922a07d3a367f92d435" localSheetId="8" hidden="1">#REF!</definedName>
    <definedName name="MLNK09cca42754934922a07d3a367f92d435" hidden="1">#REF!</definedName>
    <definedName name="MLNK09d81ba5b40a42c0a9c14c810f1878cc" localSheetId="8" hidden="1">#REF!</definedName>
    <definedName name="MLNK09d81ba5b40a42c0a9c14c810f1878cc" hidden="1">#REF!</definedName>
    <definedName name="MLNK0b082d276bca40faa8004fcab2601e68" localSheetId="10" hidden="1">#REF!</definedName>
    <definedName name="MLNK0b082d276bca40faa8004fcab2601e68" localSheetId="8" hidden="1">#REF!</definedName>
    <definedName name="MLNK0b082d276bca40faa8004fcab2601e68" localSheetId="11" hidden="1">#REF!</definedName>
    <definedName name="MLNK0b082d276bca40faa8004fcab2601e68" hidden="1">#REF!</definedName>
    <definedName name="MLNK0b092fa231b04e2396db4bf15cecd0c3" localSheetId="10" hidden="1">#REF!</definedName>
    <definedName name="MLNK0b092fa231b04e2396db4bf15cecd0c3" localSheetId="8" hidden="1">#REF!</definedName>
    <definedName name="MLNK0b092fa231b04e2396db4bf15cecd0c3" hidden="1">#REF!</definedName>
    <definedName name="MLNK0b8bab327c0147d6ba4d9c01bde0c846" localSheetId="10" hidden="1">#REF!</definedName>
    <definedName name="MLNK0b8bab327c0147d6ba4d9c01bde0c846" localSheetId="8" hidden="1">#REF!</definedName>
    <definedName name="MLNK0b8bab327c0147d6ba4d9c01bde0c846" hidden="1">#REF!</definedName>
    <definedName name="MLNK0bf2454c25664e64ae8d489f22f02acd" localSheetId="10" hidden="1">#REF!</definedName>
    <definedName name="MLNK0bf2454c25664e64ae8d489f22f02acd" localSheetId="8" hidden="1">#REF!</definedName>
    <definedName name="MLNK0bf2454c25664e64ae8d489f22f02acd" localSheetId="11" hidden="1">#REF!</definedName>
    <definedName name="MLNK0bf2454c25664e64ae8d489f22f02acd" hidden="1">#REF!</definedName>
    <definedName name="MLNK0c20fcebec34462ead6e44515658074e" localSheetId="10" hidden="1">#REF!</definedName>
    <definedName name="MLNK0c20fcebec34462ead6e44515658074e" localSheetId="8" hidden="1">#REF!</definedName>
    <definedName name="MLNK0c20fcebec34462ead6e44515658074e" hidden="1">#REF!</definedName>
    <definedName name="MLNK0c8ba547a1514edc9a147b16e9e57c04" localSheetId="10" hidden="1">#REF!</definedName>
    <definedName name="MLNK0c8ba547a1514edc9a147b16e9e57c04" localSheetId="8" hidden="1">#REF!</definedName>
    <definedName name="MLNK0c8ba547a1514edc9a147b16e9e57c04" localSheetId="11" hidden="1">#REF!</definedName>
    <definedName name="MLNK0c8ba547a1514edc9a147b16e9e57c04" hidden="1">#REF!</definedName>
    <definedName name="MLNK0d09efce5d334adab7eadc8455671d25" hidden="1" xml:space="preserve"> '[30]GF Budget'!$B$3:$R$53</definedName>
    <definedName name="MLNK0e7d997834d146e59be8c567513dbc73" localSheetId="10" hidden="1">#REF!</definedName>
    <definedName name="MLNK0e7d997834d146e59be8c567513dbc73" localSheetId="8" hidden="1">#REF!</definedName>
    <definedName name="MLNK0e7d997834d146e59be8c567513dbc73" localSheetId="11" hidden="1">#REF!</definedName>
    <definedName name="MLNK0e7d997834d146e59be8c567513dbc73" hidden="1">#REF!</definedName>
    <definedName name="MLNK0f6a8f93e67b44949558c9c724157855" localSheetId="10" hidden="1">#REF!</definedName>
    <definedName name="MLNK0f6a8f93e67b44949558c9c724157855" localSheetId="8" hidden="1">#REF!</definedName>
    <definedName name="MLNK0f6a8f93e67b44949558c9c724157855" localSheetId="11" hidden="1">#REF!</definedName>
    <definedName name="MLNK0f6a8f93e67b44949558c9c724157855" hidden="1">#REF!</definedName>
    <definedName name="MLNK0f8ee7e3d6684f56b91213ff6e90fe1b" localSheetId="8" hidden="1">#REF!</definedName>
    <definedName name="MLNK0f8ee7e3d6684f56b91213ff6e90fe1b" hidden="1">#REF!</definedName>
    <definedName name="MLNK0f9829bf3f2649c2a538fcb2cf8b24fe" localSheetId="8" hidden="1">#REF!</definedName>
    <definedName name="MLNK0f9829bf3f2649c2a538fcb2cf8b24fe" hidden="1">#REF!</definedName>
    <definedName name="MLNK11b485f0e80a44ffb9a7deb8be61f099" localSheetId="8" hidden="1">#REF!</definedName>
    <definedName name="MLNK11b485f0e80a44ffb9a7deb8be61f099" hidden="1">#REF!</definedName>
    <definedName name="MLNK1391aab276394e21be88e9a90d23fcf2" localSheetId="10" hidden="1">#REF!</definedName>
    <definedName name="MLNK1391aab276394e21be88e9a90d23fcf2" localSheetId="8" hidden="1">#REF!</definedName>
    <definedName name="MLNK1391aab276394e21be88e9a90d23fcf2" localSheetId="11" hidden="1">#REF!</definedName>
    <definedName name="MLNK1391aab276394e21be88e9a90d23fcf2" hidden="1">#REF!</definedName>
    <definedName name="MLNK14e014d9037a49668e199d3784eef1f4" localSheetId="10" hidden="1">#REF!</definedName>
    <definedName name="MLNK14e014d9037a49668e199d3784eef1f4" localSheetId="8" hidden="1">#REF!</definedName>
    <definedName name="MLNK14e014d9037a49668e199d3784eef1f4" localSheetId="11" hidden="1">#REF!</definedName>
    <definedName name="MLNK14e014d9037a49668e199d3784eef1f4" hidden="1">#REF!</definedName>
    <definedName name="MLNK15204dd5e4ec404d90f7eb22f1bad2ed" localSheetId="10" hidden="1">#REF!</definedName>
    <definedName name="MLNK15204dd5e4ec404d90f7eb22f1bad2ed" localSheetId="8" hidden="1">#REF!</definedName>
    <definedName name="MLNK15204dd5e4ec404d90f7eb22f1bad2ed" hidden="1">#REF!</definedName>
    <definedName name="MLNK15ce465ad48849b89dd690a9c51bba8a" localSheetId="10" hidden="1">#REF!</definedName>
    <definedName name="MLNK15ce465ad48849b89dd690a9c51bba8a" localSheetId="8" hidden="1">#REF!</definedName>
    <definedName name="MLNK15ce465ad48849b89dd690a9c51bba8a" hidden="1">#REF!</definedName>
    <definedName name="MLNK1607210ce72346f78bac1856d21ec9ea" localSheetId="8" hidden="1">#REF!</definedName>
    <definedName name="MLNK1607210ce72346f78bac1856d21ec9ea" hidden="1">#REF!</definedName>
    <definedName name="MLNK1639424883e1435b88a9242b1788d136" localSheetId="8" hidden="1">#REF!</definedName>
    <definedName name="MLNK1639424883e1435b88a9242b1788d136" hidden="1">#REF!</definedName>
    <definedName name="MLNK165d1a9d7fa04befab5f4c77a2635fe9" localSheetId="10" hidden="1">#REF!</definedName>
    <definedName name="MLNK165d1a9d7fa04befab5f4c77a2635fe9" localSheetId="8" hidden="1">#REF!</definedName>
    <definedName name="MLNK165d1a9d7fa04befab5f4c77a2635fe9" localSheetId="11" hidden="1">#REF!</definedName>
    <definedName name="MLNK165d1a9d7fa04befab5f4c77a2635fe9" hidden="1">#REF!</definedName>
    <definedName name="MLNK177560faf53444eba7c99a855f81b48a" localSheetId="10" hidden="1">#REF!</definedName>
    <definedName name="MLNK177560faf53444eba7c99a855f81b48a" localSheetId="8" hidden="1">#REF!</definedName>
    <definedName name="MLNK177560faf53444eba7c99a855f81b48a" localSheetId="11" hidden="1">#REF!</definedName>
    <definedName name="MLNK177560faf53444eba7c99a855f81b48a" hidden="1">#REF!</definedName>
    <definedName name="MLNK1871dbc761b14af196dd83f16fd31a61" localSheetId="10" hidden="1">#REF!</definedName>
    <definedName name="MLNK1871dbc761b14af196dd83f16fd31a61" localSheetId="8" hidden="1">#REF!</definedName>
    <definedName name="MLNK1871dbc761b14af196dd83f16fd31a61" hidden="1">#REF!</definedName>
    <definedName name="MLNK18cee1f17b9844a4a586aeb9361b4ef1" localSheetId="10" hidden="1">#REF!</definedName>
    <definedName name="MLNK18cee1f17b9844a4a586aeb9361b4ef1" localSheetId="8" hidden="1">#REF!</definedName>
    <definedName name="MLNK18cee1f17b9844a4a586aeb9361b4ef1" localSheetId="11" hidden="1">#REF!</definedName>
    <definedName name="MLNK18cee1f17b9844a4a586aeb9361b4ef1" hidden="1">#REF!</definedName>
    <definedName name="MLNK18f36d5e46a242d4975aa2cb418391f5" localSheetId="10" hidden="1">#REF!</definedName>
    <definedName name="MLNK18f36d5e46a242d4975aa2cb418391f5" localSheetId="8" hidden="1">#REF!</definedName>
    <definedName name="MLNK18f36d5e46a242d4975aa2cb418391f5" hidden="1">#REF!</definedName>
    <definedName name="MLNK19e6afb16f4648328debe1c6135c3d10" localSheetId="10" hidden="1">#REF!</definedName>
    <definedName name="MLNK19e6afb16f4648328debe1c6135c3d10" localSheetId="8" hidden="1">#REF!</definedName>
    <definedName name="MLNK19e6afb16f4648328debe1c6135c3d10" hidden="1">#REF!</definedName>
    <definedName name="MLNK1a2a7cf1be524d52a31eb8cd96a763cb" localSheetId="8" hidden="1">#REF!</definedName>
    <definedName name="MLNK1a2a7cf1be524d52a31eb8cd96a763cb" hidden="1">#REF!</definedName>
    <definedName name="MLNK1a91886f3c5a4d589a5e6a36f4eec6d3" localSheetId="8" hidden="1">#REF!</definedName>
    <definedName name="MLNK1a91886f3c5a4d589a5e6a36f4eec6d3" hidden="1">#REF!</definedName>
    <definedName name="MLNK1b01a1c7503f4e3db843c5ee082376b3" localSheetId="8" hidden="1">#REF!</definedName>
    <definedName name="MLNK1b01a1c7503f4e3db843c5ee082376b3" hidden="1">#REF!</definedName>
    <definedName name="MLNK1b9d7dbd02704ed0b18a5b5ee898cbe1" localSheetId="8" hidden="1">#REF!</definedName>
    <definedName name="MLNK1b9d7dbd02704ed0b18a5b5ee898cbe1" hidden="1">#REF!</definedName>
    <definedName name="MLNK1c65a5e0efd4414fb11830954083af7f" localSheetId="8" hidden="1">#REF!</definedName>
    <definedName name="MLNK1c65a5e0efd4414fb11830954083af7f" hidden="1">#REF!</definedName>
    <definedName name="MLNK1d4bc7fb67f544eb963ce66e6c87487d" localSheetId="10" hidden="1">#REF!</definedName>
    <definedName name="MLNK1d4bc7fb67f544eb963ce66e6c87487d" localSheetId="8" hidden="1">#REF!</definedName>
    <definedName name="MLNK1d4bc7fb67f544eb963ce66e6c87487d" localSheetId="11" hidden="1">#REF!</definedName>
    <definedName name="MLNK1d4bc7fb67f544eb963ce66e6c87487d" hidden="1">#REF!</definedName>
    <definedName name="MLNK1ecd8ff118b84d0595b49e9cbba23524" localSheetId="10" hidden="1">#REF!</definedName>
    <definedName name="MLNK1ecd8ff118b84d0595b49e9cbba23524" localSheetId="8" hidden="1">#REF!</definedName>
    <definedName name="MLNK1ecd8ff118b84d0595b49e9cbba23524" localSheetId="11" hidden="1">#REF!</definedName>
    <definedName name="MLNK1ecd8ff118b84d0595b49e9cbba23524" hidden="1">#REF!</definedName>
    <definedName name="MLNK1f0c1ce04fd44380a7476d1707ca2bb8" localSheetId="10" hidden="1">#REF!</definedName>
    <definedName name="MLNK1f0c1ce04fd44380a7476d1707ca2bb8" localSheetId="8" hidden="1">#REF!</definedName>
    <definedName name="MLNK1f0c1ce04fd44380a7476d1707ca2bb8" hidden="1">#REF!</definedName>
    <definedName name="MLNK1f68c3d05fc04f47954f056ca0e8849b" localSheetId="10" hidden="1">#REF!</definedName>
    <definedName name="MLNK1f68c3d05fc04f47954f056ca0e8849b" localSheetId="8" hidden="1">#REF!</definedName>
    <definedName name="MLNK1f68c3d05fc04f47954f056ca0e8849b" hidden="1">#REF!</definedName>
    <definedName name="MLNK1fd69c2d7cb14234bacd3f64e619d2c8" localSheetId="10" hidden="1">#REF!</definedName>
    <definedName name="MLNK1fd69c2d7cb14234bacd3f64e619d2c8" localSheetId="8" hidden="1">#REF!</definedName>
    <definedName name="MLNK1fd69c2d7cb14234bacd3f64e619d2c8" localSheetId="11" hidden="1">#REF!</definedName>
    <definedName name="MLNK1fd69c2d7cb14234bacd3f64e619d2c8" hidden="1">#REF!</definedName>
    <definedName name="MLNK1fef4b2a96144fb694fcbb8d2b0c481a" localSheetId="10" hidden="1">#REF!</definedName>
    <definedName name="MLNK1fef4b2a96144fb694fcbb8d2b0c481a" localSheetId="8" hidden="1">#REF!</definedName>
    <definedName name="MLNK1fef4b2a96144fb694fcbb8d2b0c481a" localSheetId="11" hidden="1">#REF!</definedName>
    <definedName name="MLNK1fef4b2a96144fb694fcbb8d2b0c481a" hidden="1">#REF!</definedName>
    <definedName name="MLNK209443b38cdd4e9cae3c7943483c8070" localSheetId="10" hidden="1">#REF!</definedName>
    <definedName name="MLNK209443b38cdd4e9cae3c7943483c8070" localSheetId="8" hidden="1">#REF!</definedName>
    <definedName name="MLNK209443b38cdd4e9cae3c7943483c8070" localSheetId="11" hidden="1">#REF!</definedName>
    <definedName name="MLNK209443b38cdd4e9cae3c7943483c8070" hidden="1">#REF!</definedName>
    <definedName name="MLNK2184274f3e2d4f0c9ace0067e8f9e2da" localSheetId="10" hidden="1">#REF!</definedName>
    <definedName name="MLNK2184274f3e2d4f0c9ace0067e8f9e2da" localSheetId="8" hidden="1">#REF!</definedName>
    <definedName name="MLNK2184274f3e2d4f0c9ace0067e8f9e2da" hidden="1">#REF!</definedName>
    <definedName name="MLNK21a0d26467c549acb5dbaf5c2234f1b8" localSheetId="10" hidden="1">#REF!</definedName>
    <definedName name="MLNK21a0d26467c549acb5dbaf5c2234f1b8" localSheetId="8" hidden="1">#REF!</definedName>
    <definedName name="MLNK21a0d26467c549acb5dbaf5c2234f1b8" hidden="1">#REF!</definedName>
    <definedName name="MLNK21a3f9f85f66464ab19f2b2111d98410" localSheetId="8" hidden="1">#REF!</definedName>
    <definedName name="MLNK21a3f9f85f66464ab19f2b2111d98410" hidden="1">#REF!</definedName>
    <definedName name="MLNK21b54d7030a740a9a542cd222db7c708" localSheetId="8" hidden="1">#REF!</definedName>
    <definedName name="MLNK21b54d7030a740a9a542cd222db7c708" hidden="1">#REF!</definedName>
    <definedName name="MLNK22e32a2d70a84fafbb5884fa1ab5b76c" localSheetId="10" hidden="1">#REF!</definedName>
    <definedName name="MLNK22e32a2d70a84fafbb5884fa1ab5b76c" localSheetId="8" hidden="1">#REF!</definedName>
    <definedName name="MLNK22e32a2d70a84fafbb5884fa1ab5b76c" localSheetId="11" hidden="1">#REF!</definedName>
    <definedName name="MLNK22e32a2d70a84fafbb5884fa1ab5b76c" hidden="1">#REF!</definedName>
    <definedName name="MLNK248d9b3e0e934d35964a07c1341e23b6" localSheetId="10" hidden="1">#REF!</definedName>
    <definedName name="MLNK248d9b3e0e934d35964a07c1341e23b6" localSheetId="8" hidden="1">#REF!</definedName>
    <definedName name="MLNK248d9b3e0e934d35964a07c1341e23b6" localSheetId="11" hidden="1">#REF!</definedName>
    <definedName name="MLNK248d9b3e0e934d35964a07c1341e23b6" hidden="1">#REF!</definedName>
    <definedName name="MLNK2658219a56b541ab8153804281cdba79" localSheetId="10" hidden="1">#REF!</definedName>
    <definedName name="MLNK2658219a56b541ab8153804281cdba79" localSheetId="8" hidden="1">#REF!</definedName>
    <definedName name="MLNK2658219a56b541ab8153804281cdba79" localSheetId="11" hidden="1">#REF!</definedName>
    <definedName name="MLNK2658219a56b541ab8153804281cdba79" hidden="1">#REF!</definedName>
    <definedName name="MLNK26c02635a0d74d4088cd433fdea92ca1" localSheetId="10" hidden="1">#REF!</definedName>
    <definedName name="MLNK26c02635a0d74d4088cd433fdea92ca1" localSheetId="8" hidden="1">#REF!</definedName>
    <definedName name="MLNK26c02635a0d74d4088cd433fdea92ca1" hidden="1">#REF!</definedName>
    <definedName name="MLNK27da0f47019e47f79817fef6e398902d" localSheetId="10" hidden="1">#REF!</definedName>
    <definedName name="MLNK27da0f47019e47f79817fef6e398902d" localSheetId="8" hidden="1">#REF!</definedName>
    <definedName name="MLNK27da0f47019e47f79817fef6e398902d" localSheetId="11" hidden="1">#REF!</definedName>
    <definedName name="MLNK27da0f47019e47f79817fef6e398902d" hidden="1">#REF!</definedName>
    <definedName name="MLNK27f323f0e2874762881301b4e840d7f2" localSheetId="10" hidden="1">#REF!</definedName>
    <definedName name="MLNK27f323f0e2874762881301b4e840d7f2" localSheetId="8" hidden="1">#REF!</definedName>
    <definedName name="MLNK27f323f0e2874762881301b4e840d7f2" hidden="1">#REF!</definedName>
    <definedName name="MLNK2805b44edd0441129f8e11aa4acd41a7" localSheetId="10" hidden="1">#REF!</definedName>
    <definedName name="MLNK2805b44edd0441129f8e11aa4acd41a7" localSheetId="8" hidden="1">#REF!</definedName>
    <definedName name="MLNK2805b44edd0441129f8e11aa4acd41a7" hidden="1">#REF!</definedName>
    <definedName name="MLNK296c940554a54038b436a5a194f390b0" localSheetId="10" hidden="1">#REF!</definedName>
    <definedName name="MLNK296c940554a54038b436a5a194f390b0" localSheetId="8" hidden="1">#REF!</definedName>
    <definedName name="MLNK296c940554a54038b436a5a194f390b0" localSheetId="11" hidden="1">#REF!</definedName>
    <definedName name="MLNK296c940554a54038b436a5a194f390b0" hidden="1">#REF!</definedName>
    <definedName name="MLNK29d6568d77a84ac0840cba8e1d1d6ee3" localSheetId="10" hidden="1">#REF!</definedName>
    <definedName name="MLNK29d6568d77a84ac0840cba8e1d1d6ee3" localSheetId="8" hidden="1">#REF!</definedName>
    <definedName name="MLNK29d6568d77a84ac0840cba8e1d1d6ee3" hidden="1">#REF!</definedName>
    <definedName name="MLNK2a47b22002254067be85e68327a7e813" localSheetId="10" hidden="1">#REF!</definedName>
    <definedName name="MLNK2a47b22002254067be85e68327a7e813" localSheetId="8" hidden="1">#REF!</definedName>
    <definedName name="MLNK2a47b22002254067be85e68327a7e813" hidden="1">#REF!</definedName>
    <definedName name="MLNK2a5c79f50aec42c8a2e31d5325c28031" localSheetId="8" hidden="1">#REF!</definedName>
    <definedName name="MLNK2a5c79f50aec42c8a2e31d5325c28031" hidden="1">#REF!</definedName>
    <definedName name="MLNK2a5e8554d6d24547af0536956f860375" localSheetId="8" hidden="1">#REF!</definedName>
    <definedName name="MLNK2a5e8554d6d24547af0536956f860375" hidden="1">#REF!</definedName>
    <definedName name="MLNK2aecb38e444a4a40a14b70143f708801" localSheetId="10" hidden="1">#REF!</definedName>
    <definedName name="MLNK2aecb38e444a4a40a14b70143f708801" localSheetId="8" hidden="1">#REF!</definedName>
    <definedName name="MLNK2aecb38e444a4a40a14b70143f708801" localSheetId="11" hidden="1">#REF!</definedName>
    <definedName name="MLNK2aecb38e444a4a40a14b70143f708801" hidden="1">#REF!</definedName>
    <definedName name="MLNK2b8114d7a2d84280a2be0050bd51168b" localSheetId="10" hidden="1">#REF!</definedName>
    <definedName name="MLNK2b8114d7a2d84280a2be0050bd51168b" localSheetId="8" hidden="1">#REF!</definedName>
    <definedName name="MLNK2b8114d7a2d84280a2be0050bd51168b" localSheetId="11" hidden="1">#REF!</definedName>
    <definedName name="MLNK2b8114d7a2d84280a2be0050bd51168b" hidden="1">#REF!</definedName>
    <definedName name="MLNK2be8dd5fafc0478aa9b72035019b5312" localSheetId="10" hidden="1">#REF!</definedName>
    <definedName name="MLNK2be8dd5fafc0478aa9b72035019b5312" localSheetId="8" hidden="1">#REF!</definedName>
    <definedName name="MLNK2be8dd5fafc0478aa9b72035019b5312" hidden="1">#REF!</definedName>
    <definedName name="MLNK2c1ea20a78034d11aad208c8cb37fc57" localSheetId="10" hidden="1">#REF!</definedName>
    <definedName name="MLNK2c1ea20a78034d11aad208c8cb37fc57" localSheetId="8" hidden="1">#REF!</definedName>
    <definedName name="MLNK2c1ea20a78034d11aad208c8cb37fc57" hidden="1">#REF!</definedName>
    <definedName name="MLNK2c24ddb14bd24af285ffc11304208820" localSheetId="8" hidden="1">#REF!</definedName>
    <definedName name="MLNK2c24ddb14bd24af285ffc11304208820" hidden="1">#REF!</definedName>
    <definedName name="MLNK2c7069f1dccc47fcaec327b3c64f7bc6" localSheetId="8" hidden="1">#REF!</definedName>
    <definedName name="MLNK2c7069f1dccc47fcaec327b3c64f7bc6" hidden="1">#REF!</definedName>
    <definedName name="MLNK2db95360c50d4010be00f3b6ddc7792d" localSheetId="8" hidden="1">#REF!</definedName>
    <definedName name="MLNK2db95360c50d4010be00f3b6ddc7792d" hidden="1">#REF!</definedName>
    <definedName name="MLNK2deef52e26fc409fa454323d5247537c" localSheetId="8" hidden="1">#REF!</definedName>
    <definedName name="MLNK2deef52e26fc409fa454323d5247537c" hidden="1">#REF!</definedName>
    <definedName name="MLNK2df7a817a5c246af99027147ede92642" localSheetId="8" hidden="1">#REF!</definedName>
    <definedName name="MLNK2df7a817a5c246af99027147ede92642" hidden="1">#REF!</definedName>
    <definedName name="MLNK2e2dfb78537e41a6b46ecbf4575afbd1" localSheetId="8" hidden="1">#REF!</definedName>
    <definedName name="MLNK2e2dfb78537e41a6b46ecbf4575afbd1" hidden="1">#REF!</definedName>
    <definedName name="MLNK2f885612a8f944a086299dda361c7ed1" localSheetId="8" hidden="1">#REF!</definedName>
    <definedName name="MLNK2f885612a8f944a086299dda361c7ed1" hidden="1">#REF!</definedName>
    <definedName name="MLNK2fe5187b5ef446448070aaf0b454c70c" localSheetId="10" hidden="1" xml:space="preserve"> '[31]UPR Fcst'!#REF!</definedName>
    <definedName name="MLNK2fe5187b5ef446448070aaf0b454c70c" localSheetId="8" hidden="1" xml:space="preserve"> '[31]UPR Fcst'!#REF!</definedName>
    <definedName name="MLNK2fe5187b5ef446448070aaf0b454c70c" localSheetId="11" hidden="1" xml:space="preserve"> '[31]UPR Fcst'!#REF!</definedName>
    <definedName name="MLNK2fe5187b5ef446448070aaf0b454c70c" localSheetId="7" hidden="1" xml:space="preserve"> '[31]UPR Fcst'!#REF!</definedName>
    <definedName name="MLNK2fe5187b5ef446448070aaf0b454c70c" hidden="1" xml:space="preserve"> '[31]UPR Fcst'!#REF!</definedName>
    <definedName name="MLNK308ec47b16224f54a3a1ed632cbe0316" localSheetId="10" hidden="1">#REF!</definedName>
    <definedName name="MLNK308ec47b16224f54a3a1ed632cbe0316" localSheetId="3" hidden="1">#REF!</definedName>
    <definedName name="MLNK308ec47b16224f54a3a1ed632cbe0316" localSheetId="8" hidden="1">#REF!</definedName>
    <definedName name="MLNK308ec47b16224f54a3a1ed632cbe0316" localSheetId="11" hidden="1">#REF!</definedName>
    <definedName name="MLNK308ec47b16224f54a3a1ed632cbe0316" hidden="1">#REF!</definedName>
    <definedName name="MLNK31399fdff50142e59cba8c077ad38f91" localSheetId="8" hidden="1">#REF!</definedName>
    <definedName name="MLNK31399fdff50142e59cba8c077ad38f91" hidden="1">#REF!</definedName>
    <definedName name="MLNK31c2d578afa84b99a2cd086665213a79" localSheetId="8" hidden="1">#REF!</definedName>
    <definedName name="MLNK31c2d578afa84b99a2cd086665213a79" hidden="1">#REF!</definedName>
    <definedName name="MLNK31ff285c72d4439dbe0e2be832dc8679" localSheetId="8" hidden="1">#REF!</definedName>
    <definedName name="MLNK31ff285c72d4439dbe0e2be832dc8679" hidden="1">#REF!</definedName>
    <definedName name="MLNK35e4b6f0156948d1bdf9153b287ae30f" localSheetId="10" hidden="1">#REF!</definedName>
    <definedName name="MLNK35e4b6f0156948d1bdf9153b287ae30f" localSheetId="8" hidden="1">#REF!</definedName>
    <definedName name="MLNK35e4b6f0156948d1bdf9153b287ae30f" localSheetId="11" hidden="1">#REF!</definedName>
    <definedName name="MLNK35e4b6f0156948d1bdf9153b287ae30f" hidden="1">#REF!</definedName>
    <definedName name="MLNK360f3d432fda4ea990599a5f08def911" localSheetId="10" hidden="1">#REF!</definedName>
    <definedName name="MLNK360f3d432fda4ea990599a5f08def911" localSheetId="8" hidden="1">#REF!</definedName>
    <definedName name="MLNK360f3d432fda4ea990599a5f08def911" hidden="1">#REF!</definedName>
    <definedName name="MLNK3648f583af614635b59edb48f94a4130" localSheetId="10" hidden="1">#REF!</definedName>
    <definedName name="MLNK3648f583af614635b59edb48f94a4130" localSheetId="8" hidden="1">#REF!</definedName>
    <definedName name="MLNK3648f583af614635b59edb48f94a4130" hidden="1">#REF!</definedName>
    <definedName name="MLNK3658811918af4fd78645ae1c10cfe309" hidden="1" xml:space="preserve"> '[30]GF Budget'!$B$5:$R$53</definedName>
    <definedName name="MLNK36abbd0d52b04afd9a1aa158ef250528" localSheetId="10" hidden="1">#REF!</definedName>
    <definedName name="MLNK36abbd0d52b04afd9a1aa158ef250528" localSheetId="3" hidden="1">#REF!</definedName>
    <definedName name="MLNK36abbd0d52b04afd9a1aa158ef250528" localSheetId="8" hidden="1">#REF!</definedName>
    <definedName name="MLNK36abbd0d52b04afd9a1aa158ef250528" localSheetId="11" hidden="1">#REF!</definedName>
    <definedName name="MLNK36abbd0d52b04afd9a1aa158ef250528" hidden="1">#REF!</definedName>
    <definedName name="MLNK36e5efc324ea43cabbf6164f660626bf" localSheetId="8" hidden="1">#REF!</definedName>
    <definedName name="MLNK36e5efc324ea43cabbf6164f660626bf" hidden="1">#REF!</definedName>
    <definedName name="MLNK36eb917cf7d14534b65b7531d6c48f0a" localSheetId="8" hidden="1">#REF!</definedName>
    <definedName name="MLNK36eb917cf7d14534b65b7531d6c48f0a" hidden="1">#REF!</definedName>
    <definedName name="MLNK3706e24c887c4bfbbdad6cf2cec81d6c" localSheetId="8" hidden="1">#REF!</definedName>
    <definedName name="MLNK3706e24c887c4bfbbdad6cf2cec81d6c" hidden="1">#REF!</definedName>
    <definedName name="MLNK37a873b0c9d34fb08c46e4acd5991a92" localSheetId="10" hidden="1">#REF!</definedName>
    <definedName name="MLNK37a873b0c9d34fb08c46e4acd5991a92" localSheetId="8" hidden="1">#REF!</definedName>
    <definedName name="MLNK37a873b0c9d34fb08c46e4acd5991a92" localSheetId="11" hidden="1">#REF!</definedName>
    <definedName name="MLNK37a873b0c9d34fb08c46e4acd5991a92" hidden="1">#REF!</definedName>
    <definedName name="MLNK37baddb09f3b4c75a05f2fcf17aedfe6" localSheetId="10" hidden="1">#REF!</definedName>
    <definedName name="MLNK37baddb09f3b4c75a05f2fcf17aedfe6" localSheetId="8" hidden="1">#REF!</definedName>
    <definedName name="MLNK37baddb09f3b4c75a05f2fcf17aedfe6" hidden="1">#REF!</definedName>
    <definedName name="MLNK37f868d4fa2843f0824a0aea3caff875" localSheetId="10" hidden="1">#REF!</definedName>
    <definedName name="MLNK37f868d4fa2843f0824a0aea3caff875" localSheetId="8" hidden="1">#REF!</definedName>
    <definedName name="MLNK37f868d4fa2843f0824a0aea3caff875" hidden="1">#REF!</definedName>
    <definedName name="MLNK3828f00d5db24b5cb3f5ea512518e4e1" localSheetId="8" hidden="1">#REF!</definedName>
    <definedName name="MLNK3828f00d5db24b5cb3f5ea512518e4e1" hidden="1">#REF!</definedName>
    <definedName name="MLNK38d046e8ed49413a95ebb71b6f526008" localSheetId="8" hidden="1">#REF!</definedName>
    <definedName name="MLNK38d046e8ed49413a95ebb71b6f526008" hidden="1">#REF!</definedName>
    <definedName name="MLNK3aade161feec4705b303c619f23a71c0" localSheetId="10" hidden="1">#REF!</definedName>
    <definedName name="MLNK3aade161feec4705b303c619f23a71c0" localSheetId="8" hidden="1">#REF!</definedName>
    <definedName name="MLNK3aade161feec4705b303c619f23a71c0" localSheetId="11" hidden="1">#REF!</definedName>
    <definedName name="MLNK3aade161feec4705b303c619f23a71c0" hidden="1">#REF!</definedName>
    <definedName name="MLNK3ad0197dea8e471aafedb431ba3d1ad3" localSheetId="10" hidden="1">#REF!</definedName>
    <definedName name="MLNK3ad0197dea8e471aafedb431ba3d1ad3" localSheetId="8" hidden="1">#REF!</definedName>
    <definedName name="MLNK3ad0197dea8e471aafedb431ba3d1ad3" hidden="1">#REF!</definedName>
    <definedName name="MLNK3b38a2b0fec4415786f78bdb5f2c5b17" localSheetId="10" hidden="1">#REF!</definedName>
    <definedName name="MLNK3b38a2b0fec4415786f78bdb5f2c5b17" localSheetId="8" hidden="1">#REF!</definedName>
    <definedName name="MLNK3b38a2b0fec4415786f78bdb5f2c5b17" hidden="1">#REF!</definedName>
    <definedName name="MLNK3b7d42c6927a47d3aa8c3b806705192d" localSheetId="8" hidden="1">#REF!</definedName>
    <definedName name="MLNK3b7d42c6927a47d3aa8c3b806705192d" hidden="1">#REF!</definedName>
    <definedName name="MLNK3bac5fe737474ee291eda81fc45a936b" localSheetId="10" hidden="1">#REF!</definedName>
    <definedName name="MLNK3bac5fe737474ee291eda81fc45a936b" localSheetId="8" hidden="1">#REF!</definedName>
    <definedName name="MLNK3bac5fe737474ee291eda81fc45a936b" localSheetId="11" hidden="1">#REF!</definedName>
    <definedName name="MLNK3bac5fe737474ee291eda81fc45a936b" hidden="1">#REF!</definedName>
    <definedName name="MLNK3bd9cb0bf4ae46c18f27be91d867f5d0" localSheetId="10" hidden="1">#REF!</definedName>
    <definedName name="MLNK3bd9cb0bf4ae46c18f27be91d867f5d0" localSheetId="8" hidden="1">#REF!</definedName>
    <definedName name="MLNK3bd9cb0bf4ae46c18f27be91d867f5d0" hidden="1">#REF!</definedName>
    <definedName name="MLNK3c28ecdfc128449bb2e925e5c3bc7f79" localSheetId="10" hidden="1">#REF!</definedName>
    <definedName name="MLNK3c28ecdfc128449bb2e925e5c3bc7f79" localSheetId="8" hidden="1">#REF!</definedName>
    <definedName name="MLNK3c28ecdfc128449bb2e925e5c3bc7f79" hidden="1">#REF!</definedName>
    <definedName name="MLNK3d4c90ddf7624b599035ed156292e6e7" localSheetId="8" hidden="1">#REF!</definedName>
    <definedName name="MLNK3d4c90ddf7624b599035ed156292e6e7" hidden="1">#REF!</definedName>
    <definedName name="MLNK3e1282583c70432bb6e4f5bcf64f6799" localSheetId="8" hidden="1">#REF!</definedName>
    <definedName name="MLNK3e1282583c70432bb6e4f5bcf64f6799" hidden="1">#REF!</definedName>
    <definedName name="MLNK3e3e2f3ea73b4ce2b3b55a1ff8863e08" localSheetId="8" hidden="1">#REF!</definedName>
    <definedName name="MLNK3e3e2f3ea73b4ce2b3b55a1ff8863e08" hidden="1">#REF!</definedName>
    <definedName name="MLNK3e5a338d69ad40388d23cbc751d891a4" localSheetId="8" hidden="1">#REF!</definedName>
    <definedName name="MLNK3e5a338d69ad40388d23cbc751d891a4" hidden="1">#REF!</definedName>
    <definedName name="MLNK3e647beb89b24f928aea55bf87a19639" localSheetId="8" hidden="1">#REF!</definedName>
    <definedName name="MLNK3e647beb89b24f928aea55bf87a19639" hidden="1">#REF!</definedName>
    <definedName name="MLNK3eee6069b89b44b9857417005784e3ab" localSheetId="8" hidden="1">#REF!</definedName>
    <definedName name="MLNK3eee6069b89b44b9857417005784e3ab" hidden="1">#REF!</definedName>
    <definedName name="MLNK403ebfd4f40e43c99784de624c8f354d" localSheetId="8" hidden="1">#REF!</definedName>
    <definedName name="MLNK403ebfd4f40e43c99784de624c8f354d" hidden="1">#REF!</definedName>
    <definedName name="MLNK413da80677384ac0a79b6ccc1fdb5195" localSheetId="10" hidden="1">#REF!</definedName>
    <definedName name="MLNK413da80677384ac0a79b6ccc1fdb5195" localSheetId="8" hidden="1">#REF!</definedName>
    <definedName name="MLNK413da80677384ac0a79b6ccc1fdb5195" localSheetId="11" hidden="1">#REF!</definedName>
    <definedName name="MLNK413da80677384ac0a79b6ccc1fdb5195" hidden="1">#REF!</definedName>
    <definedName name="MLNK415f334cb91f4b7282c1eeafac78ea43" localSheetId="10" hidden="1">#REF!</definedName>
    <definedName name="MLNK415f334cb91f4b7282c1eeafac78ea43" localSheetId="8" hidden="1">#REF!</definedName>
    <definedName name="MLNK415f334cb91f4b7282c1eeafac78ea43" hidden="1">#REF!</definedName>
    <definedName name="MLNK41e4e79c26a142d59def981d2dd145df" localSheetId="10" hidden="1">#REF!</definedName>
    <definedName name="MLNK41e4e79c26a142d59def981d2dd145df" localSheetId="8" hidden="1">#REF!</definedName>
    <definedName name="MLNK41e4e79c26a142d59def981d2dd145df" hidden="1">#REF!</definedName>
    <definedName name="MLNK42752d9e1ccc44ce9adb2280645efe9b" localSheetId="10" hidden="1">#REF!</definedName>
    <definedName name="MLNK42752d9e1ccc44ce9adb2280645efe9b" localSheetId="8" hidden="1">#REF!</definedName>
    <definedName name="MLNK42752d9e1ccc44ce9adb2280645efe9b" localSheetId="11" hidden="1">#REF!</definedName>
    <definedName name="MLNK42752d9e1ccc44ce9adb2280645efe9b" hidden="1">#REF!</definedName>
    <definedName name="MLNK42b3bb17631f41b8b3f75f71dd17fa5f" localSheetId="10" hidden="1">#REF!</definedName>
    <definedName name="MLNK42b3bb17631f41b8b3f75f71dd17fa5f" localSheetId="8" hidden="1">#REF!</definedName>
    <definedName name="MLNK42b3bb17631f41b8b3f75f71dd17fa5f" hidden="1">#REF!</definedName>
    <definedName name="MLNK4319580fe7794c4099aedb5cf68a3476" localSheetId="10" hidden="1">#REF!</definedName>
    <definedName name="MLNK4319580fe7794c4099aedb5cf68a3476" localSheetId="8" hidden="1">#REF!</definedName>
    <definedName name="MLNK4319580fe7794c4099aedb5cf68a3476" hidden="1">#REF!</definedName>
    <definedName name="MLNK433fb54cacd1435a9c9e560c0cdd8df8" localSheetId="8" hidden="1">#REF!</definedName>
    <definedName name="MLNK433fb54cacd1435a9c9e560c0cdd8df8" hidden="1">#REF!</definedName>
    <definedName name="MLNK438a2a6e120142498741816ba9579735" localSheetId="8" hidden="1">#REF!</definedName>
    <definedName name="MLNK438a2a6e120142498741816ba9579735" hidden="1">#REF!</definedName>
    <definedName name="MLNK43d81e261c8a4297b97427c57a2a0f3d" localSheetId="8" hidden="1">#REF!</definedName>
    <definedName name="MLNK43d81e261c8a4297b97427c57a2a0f3d" hidden="1">#REF!</definedName>
    <definedName name="MLNK443d01b130344b52a766fe8ee0d9c39d" localSheetId="8" hidden="1">#REF!</definedName>
    <definedName name="MLNK443d01b130344b52a766fe8ee0d9c39d" hidden="1">#REF!</definedName>
    <definedName name="MLNK458aaa79af9846afb73e41d3c9e2f1ab" localSheetId="10" hidden="1">#REF!</definedName>
    <definedName name="MLNK458aaa79af9846afb73e41d3c9e2f1ab" localSheetId="8" hidden="1">#REF!</definedName>
    <definedName name="MLNK458aaa79af9846afb73e41d3c9e2f1ab" localSheetId="11" hidden="1">#REF!</definedName>
    <definedName name="MLNK458aaa79af9846afb73e41d3c9e2f1ab" hidden="1">#REF!</definedName>
    <definedName name="MLNK45b83cc97481460da2311ad794b247e4" localSheetId="10" hidden="1">#REF!</definedName>
    <definedName name="MLNK45b83cc97481460da2311ad794b247e4" localSheetId="8" hidden="1">#REF!</definedName>
    <definedName name="MLNK45b83cc97481460da2311ad794b247e4" hidden="1">#REF!</definedName>
    <definedName name="MLNK45c76ff10b874741ab77a9634a1feb11" localSheetId="10" hidden="1">#REF!</definedName>
    <definedName name="MLNK45c76ff10b874741ab77a9634a1feb11" localSheetId="8" hidden="1">#REF!</definedName>
    <definedName name="MLNK45c76ff10b874741ab77a9634a1feb11" hidden="1">#REF!</definedName>
    <definedName name="MLNK46df31e034a7404583d4c864ba95b54e" localSheetId="8" hidden="1">#REF!</definedName>
    <definedName name="MLNK46df31e034a7404583d4c864ba95b54e" hidden="1">#REF!</definedName>
    <definedName name="MLNK47ecd769fb4441469072be216124a69f" localSheetId="10" hidden="1">#REF!</definedName>
    <definedName name="MLNK47ecd769fb4441469072be216124a69f" localSheetId="8" hidden="1">#REF!</definedName>
    <definedName name="MLNK47ecd769fb4441469072be216124a69f" localSheetId="11" hidden="1">#REF!</definedName>
    <definedName name="MLNK47ecd769fb4441469072be216124a69f" hidden="1">#REF!</definedName>
    <definedName name="MLNK482919bd20434765a50a5474233d58dc" localSheetId="10" hidden="1">#REF!</definedName>
    <definedName name="MLNK482919bd20434765a50a5474233d58dc" localSheetId="8" hidden="1">#REF!</definedName>
    <definedName name="MLNK482919bd20434765a50a5474233d58dc" hidden="1">#REF!</definedName>
    <definedName name="MLNK48471666c3414f8aa956b5053db71384" localSheetId="10" hidden="1">#REF!</definedName>
    <definedName name="MLNK48471666c3414f8aa956b5053db71384" localSheetId="8" hidden="1">#REF!</definedName>
    <definedName name="MLNK48471666c3414f8aa956b5053db71384" hidden="1">#REF!</definedName>
    <definedName name="MLNK484bb76c7e41479cbe4e39303ad6f0d3" localSheetId="8" hidden="1">#REF!</definedName>
    <definedName name="MLNK484bb76c7e41479cbe4e39303ad6f0d3" hidden="1">#REF!</definedName>
    <definedName name="MLNK4931501a55124a859b558556c9bde21a" localSheetId="10" hidden="1">#REF!</definedName>
    <definedName name="MLNK4931501a55124a859b558556c9bde21a" localSheetId="8" hidden="1">#REF!</definedName>
    <definedName name="MLNK4931501a55124a859b558556c9bde21a" localSheetId="11" hidden="1">#REF!</definedName>
    <definedName name="MLNK4931501a55124a859b558556c9bde21a" hidden="1">#REF!</definedName>
    <definedName name="MLNK498d98cc04654c498b39d53c1522165b" localSheetId="10" hidden="1">#REF!</definedName>
    <definedName name="MLNK498d98cc04654c498b39d53c1522165b" localSheetId="8" hidden="1">#REF!</definedName>
    <definedName name="MLNK498d98cc04654c498b39d53c1522165b" hidden="1">#REF!</definedName>
    <definedName name="MLNK49d3f0c296384b68956588199f80ee48" localSheetId="10" hidden="1">#REF!</definedName>
    <definedName name="MLNK49d3f0c296384b68956588199f80ee48" localSheetId="8" hidden="1">#REF!</definedName>
    <definedName name="MLNK49d3f0c296384b68956588199f80ee48" hidden="1">#REF!</definedName>
    <definedName name="MLNK49e6d6b375eb4898b318fa941c74e98b" localSheetId="8" hidden="1">#REF!</definedName>
    <definedName name="MLNK49e6d6b375eb4898b318fa941c74e98b" hidden="1">#REF!</definedName>
    <definedName name="MLNK4a1a0bcea1014b019e7b811681cb9ba0" localSheetId="8" hidden="1">#REF!</definedName>
    <definedName name="MLNK4a1a0bcea1014b019e7b811681cb9ba0" hidden="1">#REF!</definedName>
    <definedName name="MLNK4bb76648e81d4bf3804872f4216576c9" localSheetId="10" hidden="1">#REF!</definedName>
    <definedName name="MLNK4bb76648e81d4bf3804872f4216576c9" localSheetId="8" hidden="1">#REF!</definedName>
    <definedName name="MLNK4bb76648e81d4bf3804872f4216576c9" localSheetId="11" hidden="1">#REF!</definedName>
    <definedName name="MLNK4bb76648e81d4bf3804872f4216576c9" hidden="1">#REF!</definedName>
    <definedName name="MLNK4c45991e708e4e0086cff0f3dec04376" localSheetId="10" hidden="1">#REF!</definedName>
    <definedName name="MLNK4c45991e708e4e0086cff0f3dec04376" localSheetId="8" hidden="1">#REF!</definedName>
    <definedName name="MLNK4c45991e708e4e0086cff0f3dec04376" hidden="1">#REF!</definedName>
    <definedName name="MLNK4c635a19550a44109070e6130c847b6b" localSheetId="10" hidden="1">#REF!</definedName>
    <definedName name="MLNK4c635a19550a44109070e6130c847b6b" localSheetId="8" hidden="1">#REF!</definedName>
    <definedName name="MLNK4c635a19550a44109070e6130c847b6b" localSheetId="11" hidden="1">#REF!</definedName>
    <definedName name="MLNK4c635a19550a44109070e6130c847b6b" hidden="1">#REF!</definedName>
    <definedName name="MLNK4cde9847bc18436482ab008f59ab9718" localSheetId="10" hidden="1">#REF!</definedName>
    <definedName name="MLNK4cde9847bc18436482ab008f59ab9718" localSheetId="8" hidden="1">#REF!</definedName>
    <definedName name="MLNK4cde9847bc18436482ab008f59ab9718" hidden="1">#REF!</definedName>
    <definedName name="MLNK4d258d99109745b2be56909102240102" localSheetId="10" hidden="1">#REF!</definedName>
    <definedName name="MLNK4d258d99109745b2be56909102240102" localSheetId="8" hidden="1">#REF!</definedName>
    <definedName name="MLNK4d258d99109745b2be56909102240102" hidden="1">#REF!</definedName>
    <definedName name="MLNK4d7213d61e414411986e7d332e756fc5" localSheetId="8" hidden="1">#REF!</definedName>
    <definedName name="MLNK4d7213d61e414411986e7d332e756fc5" hidden="1">#REF!</definedName>
    <definedName name="MLNK4da9c9e6b8c644f380a6ca5d5ab2620f" localSheetId="10" hidden="1" xml:space="preserve"> '[31]UPR Fcst'!#REF!</definedName>
    <definedName name="MLNK4da9c9e6b8c644f380a6ca5d5ab2620f" localSheetId="8" hidden="1" xml:space="preserve"> '[31]UPR Fcst'!#REF!</definedName>
    <definedName name="MLNK4da9c9e6b8c644f380a6ca5d5ab2620f" localSheetId="11" hidden="1" xml:space="preserve"> '[31]UPR Fcst'!#REF!</definedName>
    <definedName name="MLNK4da9c9e6b8c644f380a6ca5d5ab2620f" localSheetId="7" hidden="1" xml:space="preserve"> '[31]UPR Fcst'!#REF!</definedName>
    <definedName name="MLNK4da9c9e6b8c644f380a6ca5d5ab2620f" hidden="1" xml:space="preserve"> '[31]UPR Fcst'!#REF!</definedName>
    <definedName name="MLNK4e49e49c582e448e9e30a83d9c83a122" localSheetId="10" hidden="1">#REF!</definedName>
    <definedName name="MLNK4e49e49c582e448e9e30a83d9c83a122" localSheetId="3" hidden="1">#REF!</definedName>
    <definedName name="MLNK4e49e49c582e448e9e30a83d9c83a122" localSheetId="8" hidden="1">#REF!</definedName>
    <definedName name="MLNK4e49e49c582e448e9e30a83d9c83a122" localSheetId="11" hidden="1">#REF!</definedName>
    <definedName name="MLNK4e49e49c582e448e9e30a83d9c83a122" hidden="1">#REF!</definedName>
    <definedName name="MLNK4e9053f195424c5898385bfd1c12f6b3" localSheetId="10" hidden="1">#REF!</definedName>
    <definedName name="MLNK4e9053f195424c5898385bfd1c12f6b3" localSheetId="8" hidden="1">#REF!</definedName>
    <definedName name="MLNK4e9053f195424c5898385bfd1c12f6b3" localSheetId="11" hidden="1">#REF!</definedName>
    <definedName name="MLNK4e9053f195424c5898385bfd1c12f6b3" hidden="1">#REF!</definedName>
    <definedName name="MLNK4f98288bba1c4350913b060688bde28e" localSheetId="8" hidden="1">#REF!</definedName>
    <definedName name="MLNK4f98288bba1c4350913b060688bde28e" hidden="1">#REF!</definedName>
    <definedName name="MLNK508ff2ecf28e40cfaa71d75881b6a90a" localSheetId="10" hidden="1">#REF!</definedName>
    <definedName name="MLNK508ff2ecf28e40cfaa71d75881b6a90a" localSheetId="8" hidden="1">#REF!</definedName>
    <definedName name="MLNK508ff2ecf28e40cfaa71d75881b6a90a" localSheetId="11" hidden="1">#REF!</definedName>
    <definedName name="MLNK508ff2ecf28e40cfaa71d75881b6a90a" hidden="1">#REF!</definedName>
    <definedName name="MLNK509f8c4fb6714660a48602426ab100f0" localSheetId="10" hidden="1">#REF!</definedName>
    <definedName name="MLNK509f8c4fb6714660a48602426ab100f0" localSheetId="8" hidden="1">#REF!</definedName>
    <definedName name="MLNK509f8c4fb6714660a48602426ab100f0" hidden="1">#REF!</definedName>
    <definedName name="MLNK50bae705cc0d41ad9ba07fcaf0b91d98" localSheetId="10" hidden="1">#REF!</definedName>
    <definedName name="MLNK50bae705cc0d41ad9ba07fcaf0b91d98" localSheetId="8" hidden="1">#REF!</definedName>
    <definedName name="MLNK50bae705cc0d41ad9ba07fcaf0b91d98" hidden="1">#REF!</definedName>
    <definedName name="MLNK51a8fd158f3540cd92b538a0e9992c1d" localSheetId="8" hidden="1">#REF!</definedName>
    <definedName name="MLNK51a8fd158f3540cd92b538a0e9992c1d" hidden="1">#REF!</definedName>
    <definedName name="MLNK51bea82e02e4429d891d84a27212e619" localSheetId="8" hidden="1">#REF!</definedName>
    <definedName name="MLNK51bea82e02e4429d891d84a27212e619" hidden="1">#REF!</definedName>
    <definedName name="MLNK52cb6911a2a44cb19e70c2ca9b02d38e" hidden="1" xml:space="preserve">    [32]All_Measures!$1:$1048576</definedName>
    <definedName name="MLNK52efdd4a84064a8ca4dec1a4ddc32412" localSheetId="10" hidden="1">#REF!</definedName>
    <definedName name="MLNK52efdd4a84064a8ca4dec1a4ddc32412" localSheetId="3" hidden="1">#REF!</definedName>
    <definedName name="MLNK52efdd4a84064a8ca4dec1a4ddc32412" localSheetId="8" hidden="1">#REF!</definedName>
    <definedName name="MLNK52efdd4a84064a8ca4dec1a4ddc32412" localSheetId="11" hidden="1">#REF!</definedName>
    <definedName name="MLNK52efdd4a84064a8ca4dec1a4ddc32412" hidden="1">#REF!</definedName>
    <definedName name="MLNK5347981ee1dd4801af77c60c95ccb8e1" localSheetId="8" hidden="1">#REF!</definedName>
    <definedName name="MLNK5347981ee1dd4801af77c60c95ccb8e1" hidden="1">#REF!</definedName>
    <definedName name="MLNK536333f261bd411397bf03627d7c2745" localSheetId="10" hidden="1">#REF!</definedName>
    <definedName name="MLNK536333f261bd411397bf03627d7c2745" localSheetId="8" hidden="1">#REF!</definedName>
    <definedName name="MLNK536333f261bd411397bf03627d7c2745" localSheetId="11" hidden="1">#REF!</definedName>
    <definedName name="MLNK536333f261bd411397bf03627d7c2745" hidden="1">#REF!</definedName>
    <definedName name="MLNK53a9cc6153f347ccb56b1fc51538aa76" localSheetId="10" hidden="1">#REF!</definedName>
    <definedName name="MLNK53a9cc6153f347ccb56b1fc51538aa76" localSheetId="8" hidden="1">#REF!</definedName>
    <definedName name="MLNK53a9cc6153f347ccb56b1fc51538aa76" hidden="1">#REF!</definedName>
    <definedName name="MLNK53e55a5a145e40329efd59713c9d9c6f" localSheetId="8" hidden="1">#REF!</definedName>
    <definedName name="MLNK53e55a5a145e40329efd59713c9d9c6f" hidden="1">#REF!</definedName>
    <definedName name="MLNK5492763a4dfa4261a804a7a6144d6c5f" localSheetId="8" hidden="1">#REF!</definedName>
    <definedName name="MLNK5492763a4dfa4261a804a7a6144d6c5f" hidden="1">#REF!</definedName>
    <definedName name="MLNK55ae9c71f0dd499881deb18bc8d1f2a5" localSheetId="10" hidden="1">#REF!</definedName>
    <definedName name="MLNK55ae9c71f0dd499881deb18bc8d1f2a5" localSheetId="8" hidden="1">#REF!</definedName>
    <definedName name="MLNK55ae9c71f0dd499881deb18bc8d1f2a5" localSheetId="11" hidden="1">#REF!</definedName>
    <definedName name="MLNK55ae9c71f0dd499881deb18bc8d1f2a5" hidden="1">#REF!</definedName>
    <definedName name="MLNK560b6e60e3e0435e8c4d001347bff533" localSheetId="10" hidden="1">#REF!</definedName>
    <definedName name="MLNK560b6e60e3e0435e8c4d001347bff533" localSheetId="8" hidden="1">#REF!</definedName>
    <definedName name="MLNK560b6e60e3e0435e8c4d001347bff533" hidden="1">#REF!</definedName>
    <definedName name="MLNK570ef26b10a941acb89178583a814e76" localSheetId="10" hidden="1">#REF!</definedName>
    <definedName name="MLNK570ef26b10a941acb89178583a814e76" localSheetId="8" hidden="1">#REF!</definedName>
    <definedName name="MLNK570ef26b10a941acb89178583a814e76" hidden="1">#REF!</definedName>
    <definedName name="MLNK579ef4e1916f46aab301f33adc076bcc" localSheetId="8" hidden="1">#REF!</definedName>
    <definedName name="MLNK579ef4e1916f46aab301f33adc076bcc" hidden="1">#REF!</definedName>
    <definedName name="MLNK582db0217a614d7ba0e1511524a77e05" localSheetId="8" hidden="1">#REF!</definedName>
    <definedName name="MLNK582db0217a614d7ba0e1511524a77e05" hidden="1">#REF!</definedName>
    <definedName name="MLNK5898a6e69caa4597babc57cdf97bd9bf" localSheetId="8" hidden="1">#REF!</definedName>
    <definedName name="MLNK5898a6e69caa4597babc57cdf97bd9bf" hidden="1">#REF!</definedName>
    <definedName name="MLNK59f209be2bf3401e9e0607f2f78b4c04" localSheetId="10" hidden="1">#REF!</definedName>
    <definedName name="MLNK59f209be2bf3401e9e0607f2f78b4c04" localSheetId="8" hidden="1">#REF!</definedName>
    <definedName name="MLNK59f209be2bf3401e9e0607f2f78b4c04" localSheetId="11" hidden="1">#REF!</definedName>
    <definedName name="MLNK59f209be2bf3401e9e0607f2f78b4c04" hidden="1">#REF!</definedName>
    <definedName name="MLNK5a83c17b18714ce0becd2b289712c52b" localSheetId="10" hidden="1">#REF!</definedName>
    <definedName name="MLNK5a83c17b18714ce0becd2b289712c52b" localSheetId="8" hidden="1">#REF!</definedName>
    <definedName name="MLNK5a83c17b18714ce0becd2b289712c52b" hidden="1">#REF!</definedName>
    <definedName name="MLNK5abb92c89621466b91d5cb1ade855f7f" localSheetId="10" hidden="1">#REF!</definedName>
    <definedName name="MLNK5abb92c89621466b91d5cb1ade855f7f" localSheetId="8" hidden="1">#REF!</definedName>
    <definedName name="MLNK5abb92c89621466b91d5cb1ade855f7f" hidden="1">#REF!</definedName>
    <definedName name="MLNK5ad85d409591497d8dad9509425e0ba2" localSheetId="8" hidden="1">#REF!</definedName>
    <definedName name="MLNK5ad85d409591497d8dad9509425e0ba2" hidden="1">#REF!</definedName>
    <definedName name="MLNK5ae714f60c1641bb934d97ab30be240e" localSheetId="8" hidden="1">#REF!</definedName>
    <definedName name="MLNK5ae714f60c1641bb934d97ab30be240e" hidden="1">#REF!</definedName>
    <definedName name="MLNK5b339955694e46b7802896462eee8b3d" localSheetId="8" hidden="1">#REF!</definedName>
    <definedName name="MLNK5b339955694e46b7802896462eee8b3d" hidden="1">#REF!</definedName>
    <definedName name="MLNK5cb4dbe67964435e930dd63eb29896b1" localSheetId="8" hidden="1">#REF!</definedName>
    <definedName name="MLNK5cb4dbe67964435e930dd63eb29896b1" hidden="1">#REF!</definedName>
    <definedName name="MLNK5d5c778196e0436eba8d974251b3bf17" hidden="1" xml:space="preserve"> '[30]GF Budget'!$B$5:$R$53</definedName>
    <definedName name="MLNK5d68080b038343fa816dada380863ce8" localSheetId="10" hidden="1">#REF!</definedName>
    <definedName name="MLNK5d68080b038343fa816dada380863ce8" localSheetId="3" hidden="1">#REF!</definedName>
    <definedName name="MLNK5d68080b038343fa816dada380863ce8" localSheetId="8" hidden="1">#REF!</definedName>
    <definedName name="MLNK5d68080b038343fa816dada380863ce8" localSheetId="11" hidden="1">#REF!</definedName>
    <definedName name="MLNK5d68080b038343fa816dada380863ce8" hidden="1">#REF!</definedName>
    <definedName name="MLNK5d77c638f3c2404dab35b6e6ac94b9a7" localSheetId="8" hidden="1">#REF!</definedName>
    <definedName name="MLNK5d77c638f3c2404dab35b6e6ac94b9a7" hidden="1">#REF!</definedName>
    <definedName name="MLNK5df9151fd86842b89bcd179e2f0def34" localSheetId="8" hidden="1">#REF!</definedName>
    <definedName name="MLNK5df9151fd86842b89bcd179e2f0def34" hidden="1">#REF!</definedName>
    <definedName name="MLNK5e5f590bc264463e98d16a114838aa57" localSheetId="8" hidden="1">#REF!</definedName>
    <definedName name="MLNK5e5f590bc264463e98d16a114838aa57" hidden="1">#REF!</definedName>
    <definedName name="MLNK5eada16b3c5c487bbc0de01cf74e2173" localSheetId="8" hidden="1">#REF!</definedName>
    <definedName name="MLNK5eada16b3c5c487bbc0de01cf74e2173" hidden="1">#REF!</definedName>
    <definedName name="MLNK5f228fd4a59d4db2812d49b0a7754e23" localSheetId="8" hidden="1">#REF!</definedName>
    <definedName name="MLNK5f228fd4a59d4db2812d49b0a7754e23" hidden="1">#REF!</definedName>
    <definedName name="MLNK5f848ded84264f5d98bf3e15cbe8c01d" localSheetId="8" hidden="1">#REF!</definedName>
    <definedName name="MLNK5f848ded84264f5d98bf3e15cbe8c01d" hidden="1">#REF!</definedName>
    <definedName name="MLNK5fa1877d45bd4a9289b48633d5b5072a" localSheetId="8" hidden="1">#REF!</definedName>
    <definedName name="MLNK5fa1877d45bd4a9289b48633d5b5072a" hidden="1">#REF!</definedName>
    <definedName name="MLNK610db0b6cc754ef99c73a3cd6f22f571" localSheetId="10" hidden="1">#REF!</definedName>
    <definedName name="MLNK610db0b6cc754ef99c73a3cd6f22f571" localSheetId="8" hidden="1">#REF!</definedName>
    <definedName name="MLNK610db0b6cc754ef99c73a3cd6f22f571" localSheetId="11" hidden="1">#REF!</definedName>
    <definedName name="MLNK610db0b6cc754ef99c73a3cd6f22f571" hidden="1">#REF!</definedName>
    <definedName name="MLNK6226dcd378504a2ca1dbbaa1e632dc0a" localSheetId="10" hidden="1">#REF!</definedName>
    <definedName name="MLNK6226dcd378504a2ca1dbbaa1e632dc0a" localSheetId="8" hidden="1">#REF!</definedName>
    <definedName name="MLNK6226dcd378504a2ca1dbbaa1e632dc0a" hidden="1">#REF!</definedName>
    <definedName name="MLNK63c206df9ed041a9a1121d1257b3f60b" localSheetId="10" hidden="1">#REF!</definedName>
    <definedName name="MLNK63c206df9ed041a9a1121d1257b3f60b" localSheetId="8" hidden="1">#REF!</definedName>
    <definedName name="MLNK63c206df9ed041a9a1121d1257b3f60b" hidden="1">#REF!</definedName>
    <definedName name="MLNK6411ea80b5b440648c6d6066ca29173c" localSheetId="10" hidden="1">#REF!</definedName>
    <definedName name="MLNK6411ea80b5b440648c6d6066ca29173c" localSheetId="8" hidden="1">#REF!</definedName>
    <definedName name="MLNK6411ea80b5b440648c6d6066ca29173c" localSheetId="11" hidden="1">#REF!</definedName>
    <definedName name="MLNK6411ea80b5b440648c6d6066ca29173c" hidden="1">#REF!</definedName>
    <definedName name="MLNK65bc63d0bd984accb696d002904d0f08" localSheetId="10" hidden="1">#REF!</definedName>
    <definedName name="MLNK65bc63d0bd984accb696d002904d0f08" localSheetId="8" hidden="1">#REF!</definedName>
    <definedName name="MLNK65bc63d0bd984accb696d002904d0f08" localSheetId="11" hidden="1">#REF!</definedName>
    <definedName name="MLNK65bc63d0bd984accb696d002904d0f08" hidden="1">#REF!</definedName>
    <definedName name="MLNK6640a089c91645b3a9f3615b7584b729" localSheetId="10" hidden="1">#REF!</definedName>
    <definedName name="MLNK6640a089c91645b3a9f3615b7584b729" localSheetId="8" hidden="1">#REF!</definedName>
    <definedName name="MLNK6640a089c91645b3a9f3615b7584b729" hidden="1">#REF!</definedName>
    <definedName name="MLNK672e13883a264a4f8e419d942933dd1b" localSheetId="10" hidden="1">#REF!</definedName>
    <definedName name="MLNK672e13883a264a4f8e419d942933dd1b" localSheetId="8" hidden="1">#REF!</definedName>
    <definedName name="MLNK672e13883a264a4f8e419d942933dd1b" localSheetId="11" hidden="1">#REF!</definedName>
    <definedName name="MLNK672e13883a264a4f8e419d942933dd1b" hidden="1">#REF!</definedName>
    <definedName name="MLNK6790d0c9a6224e2d928c158b38604b86" localSheetId="10" hidden="1">#REF!</definedName>
    <definedName name="MLNK6790d0c9a6224e2d928c158b38604b86" localSheetId="8" hidden="1">#REF!</definedName>
    <definedName name="MLNK6790d0c9a6224e2d928c158b38604b86" hidden="1">#REF!</definedName>
    <definedName name="MLNK67c184b495fd4955b3cf94cbcedb6638" localSheetId="10" hidden="1">#REF!</definedName>
    <definedName name="MLNK67c184b495fd4955b3cf94cbcedb6638" localSheetId="8" hidden="1">#REF!</definedName>
    <definedName name="MLNK67c184b495fd4955b3cf94cbcedb6638" hidden="1">#REF!</definedName>
    <definedName name="MLNK695bfab210c8400cbd5abb57e71aebe6" localSheetId="10" hidden="1">#REF!</definedName>
    <definedName name="MLNK695bfab210c8400cbd5abb57e71aebe6" localSheetId="8" hidden="1">#REF!</definedName>
    <definedName name="MLNK695bfab210c8400cbd5abb57e71aebe6" localSheetId="11" hidden="1">#REF!</definedName>
    <definedName name="MLNK695bfab210c8400cbd5abb57e71aebe6" hidden="1">#REF!</definedName>
    <definedName name="MLNK69aa328df44848a999824b4b2fa0448b" localSheetId="10" hidden="1">#REF!</definedName>
    <definedName name="MLNK69aa328df44848a999824b4b2fa0448b" localSheetId="8" hidden="1">#REF!</definedName>
    <definedName name="MLNK69aa328df44848a999824b4b2fa0448b" hidden="1">#REF!</definedName>
    <definedName name="MLNK69d944092bcf489d931862cbfbe1c996" localSheetId="10" hidden="1">#REF!</definedName>
    <definedName name="MLNK69d944092bcf489d931862cbfbe1c996" localSheetId="8" hidden="1">#REF!</definedName>
    <definedName name="MLNK69d944092bcf489d931862cbfbe1c996" hidden="1">#REF!</definedName>
    <definedName name="MLNK6ab964da169d467bbce24bbafd667728" localSheetId="8" hidden="1">#REF!</definedName>
    <definedName name="MLNK6ab964da169d467bbce24bbafd667728" hidden="1">#REF!</definedName>
    <definedName name="MLNK6b00ddf2e9c04801b29cc98e91eb2dbc" localSheetId="8" hidden="1">#REF!</definedName>
    <definedName name="MLNK6b00ddf2e9c04801b29cc98e91eb2dbc" hidden="1">#REF!</definedName>
    <definedName name="MLNK6b423b375ecf4725b5fa25353b990667" hidden="1" xml:space="preserve">   '[30]GF Budget'!$B$5:$R$53</definedName>
    <definedName name="MLNK6b65ed32ce7640a99fa7442f9889b454" localSheetId="10" hidden="1">#REF!</definedName>
    <definedName name="MLNK6b65ed32ce7640a99fa7442f9889b454" localSheetId="3" hidden="1">#REF!</definedName>
    <definedName name="MLNK6b65ed32ce7640a99fa7442f9889b454" localSheetId="8" hidden="1">#REF!</definedName>
    <definedName name="MLNK6b65ed32ce7640a99fa7442f9889b454" localSheetId="11" hidden="1">#REF!</definedName>
    <definedName name="MLNK6b65ed32ce7640a99fa7442f9889b454" hidden="1">#REF!</definedName>
    <definedName name="MLNK6c16a94d2a0b43b7b8adb5c5950c7890" localSheetId="10" hidden="1">#REF!</definedName>
    <definedName name="MLNK6c16a94d2a0b43b7b8adb5c5950c7890" localSheetId="8" hidden="1">#REF!</definedName>
    <definedName name="MLNK6c16a94d2a0b43b7b8adb5c5950c7890" localSheetId="11" hidden="1">#REF!</definedName>
    <definedName name="MLNK6c16a94d2a0b43b7b8adb5c5950c7890" hidden="1">#REF!</definedName>
    <definedName name="MLNK6c366b5f04d54533bf372b0bebc30c9f" localSheetId="10" hidden="1">#REF!</definedName>
    <definedName name="MLNK6c366b5f04d54533bf372b0bebc30c9f" localSheetId="8" hidden="1">#REF!</definedName>
    <definedName name="MLNK6c366b5f04d54533bf372b0bebc30c9f" localSheetId="11" hidden="1">#REF!</definedName>
    <definedName name="MLNK6c366b5f04d54533bf372b0bebc30c9f" hidden="1">#REF!</definedName>
    <definedName name="MLNK6c949c245d594993a72b43c4e938f5d2" localSheetId="10" hidden="1">#REF!</definedName>
    <definedName name="MLNK6c949c245d594993a72b43c4e938f5d2" localSheetId="8" hidden="1">#REF!</definedName>
    <definedName name="MLNK6c949c245d594993a72b43c4e938f5d2" hidden="1">#REF!</definedName>
    <definedName name="MLNK6d480d6ee1b34b10965446268e5e05ed" hidden="1" xml:space="preserve">    [32]All_Measures!$A$4:$N$34</definedName>
    <definedName name="MLNK6d5ef2ae7d494c4983a39cafda858a07" localSheetId="10" hidden="1">#REF!</definedName>
    <definedName name="MLNK6d5ef2ae7d494c4983a39cafda858a07" localSheetId="3" hidden="1">#REF!</definedName>
    <definedName name="MLNK6d5ef2ae7d494c4983a39cafda858a07" localSheetId="8" hidden="1">#REF!</definedName>
    <definedName name="MLNK6d5ef2ae7d494c4983a39cafda858a07" localSheetId="11" hidden="1">#REF!</definedName>
    <definedName name="MLNK6d5ef2ae7d494c4983a39cafda858a07" hidden="1">#REF!</definedName>
    <definedName name="MLNK6e283d9da0464568a5dfc377690f1543" localSheetId="10" hidden="1">#REF!</definedName>
    <definedName name="MLNK6e283d9da0464568a5dfc377690f1543" localSheetId="8" hidden="1">#REF!</definedName>
    <definedName name="MLNK6e283d9da0464568a5dfc377690f1543" localSheetId="11" hidden="1">#REF!</definedName>
    <definedName name="MLNK6e283d9da0464568a5dfc377690f1543" hidden="1">#REF!</definedName>
    <definedName name="MLNK6e6ce24531cb48eaa9d8307f24b6a872" localSheetId="8" hidden="1">#REF!</definedName>
    <definedName name="MLNK6e6ce24531cb48eaa9d8307f24b6a872" hidden="1">#REF!</definedName>
    <definedName name="MLNK6ea59209ef7a45c9833c1204928341d0" localSheetId="8" hidden="1">#REF!</definedName>
    <definedName name="MLNK6ea59209ef7a45c9833c1204928341d0" hidden="1">#REF!</definedName>
    <definedName name="MLNK6f98c812586e46718c1e93daade62794" localSheetId="10" hidden="1">#REF!</definedName>
    <definedName name="MLNK6f98c812586e46718c1e93daade62794" localSheetId="8" hidden="1">#REF!</definedName>
    <definedName name="MLNK6f98c812586e46718c1e93daade62794" localSheetId="11" hidden="1">#REF!</definedName>
    <definedName name="MLNK6f98c812586e46718c1e93daade62794" hidden="1">#REF!</definedName>
    <definedName name="MLNK6fae11f939ba4aaa9802df3725e20ebb" localSheetId="10" hidden="1">#REF!</definedName>
    <definedName name="MLNK6fae11f939ba4aaa9802df3725e20ebb" localSheetId="8" hidden="1">#REF!</definedName>
    <definedName name="MLNK6fae11f939ba4aaa9802df3725e20ebb" hidden="1">#REF!</definedName>
    <definedName name="MLNK6ff06dccb8854c3b939387890f5c8993" localSheetId="10" hidden="1">#REF!</definedName>
    <definedName name="MLNK6ff06dccb8854c3b939387890f5c8993" localSheetId="8" hidden="1">#REF!</definedName>
    <definedName name="MLNK6ff06dccb8854c3b939387890f5c8993" hidden="1">#REF!</definedName>
    <definedName name="MLNK7006de1b050c4e36a26d4f3df2768687" localSheetId="8" hidden="1">#REF!</definedName>
    <definedName name="MLNK7006de1b050c4e36a26d4f3df2768687" hidden="1">#REF!</definedName>
    <definedName name="MLNK70df96ddcf5e421ab12a8c2e2c167bf8" localSheetId="10" hidden="1">#REF!</definedName>
    <definedName name="MLNK70df96ddcf5e421ab12a8c2e2c167bf8" localSheetId="8" hidden="1">#REF!</definedName>
    <definedName name="MLNK70df96ddcf5e421ab12a8c2e2c167bf8" localSheetId="11" hidden="1">#REF!</definedName>
    <definedName name="MLNK70df96ddcf5e421ab12a8c2e2c167bf8" hidden="1">#REF!</definedName>
    <definedName name="MLNK72298a29c71740da88c3fd2965b44709" hidden="1" xml:space="preserve">    [32]All_Measures!$1:$1048576</definedName>
    <definedName name="MLNK7320956c55894738a58535007c9313c1" localSheetId="10" hidden="1">#REF!</definedName>
    <definedName name="MLNK7320956c55894738a58535007c9313c1" localSheetId="8" hidden="1">#REF!</definedName>
    <definedName name="MLNK7320956c55894738a58535007c9313c1" localSheetId="11" hidden="1">#REF!</definedName>
    <definedName name="MLNK7320956c55894738a58535007c9313c1" hidden="1">#REF!</definedName>
    <definedName name="MLNK732c066412c842f39247eaa9b6c6a2b0" localSheetId="10" hidden="1">#REF!</definedName>
    <definedName name="MLNK732c066412c842f39247eaa9b6c6a2b0" localSheetId="8" hidden="1">#REF!</definedName>
    <definedName name="MLNK732c066412c842f39247eaa9b6c6a2b0" localSheetId="11" hidden="1">#REF!</definedName>
    <definedName name="MLNK732c066412c842f39247eaa9b6c6a2b0" hidden="1">#REF!</definedName>
    <definedName name="MLNK73cefd734dde4b4ca833bd52be1fa527" localSheetId="8" hidden="1">#REF!</definedName>
    <definedName name="MLNK73cefd734dde4b4ca833bd52be1fa527" hidden="1">#REF!</definedName>
    <definedName name="MLNK73d7f83c73834c11ace54c3ccdbcac3f" localSheetId="8" hidden="1">#REF!</definedName>
    <definedName name="MLNK73d7f83c73834c11ace54c3ccdbcac3f" hidden="1">#REF!</definedName>
    <definedName name="MLNK74b6be136557406f93d3fabd488f684b" localSheetId="10" hidden="1">#REF!</definedName>
    <definedName name="MLNK74b6be136557406f93d3fabd488f684b" localSheetId="8" hidden="1">#REF!</definedName>
    <definedName name="MLNK74b6be136557406f93d3fabd488f684b" localSheetId="11" hidden="1">#REF!</definedName>
    <definedName name="MLNK74b6be136557406f93d3fabd488f684b" hidden="1">#REF!</definedName>
    <definedName name="MLNK7586c74528b54c32aec2be58fd578869" localSheetId="10" hidden="1">#REF!</definedName>
    <definedName name="MLNK7586c74528b54c32aec2be58fd578869" localSheetId="8" hidden="1">#REF!</definedName>
    <definedName name="MLNK7586c74528b54c32aec2be58fd578869" localSheetId="11" hidden="1">#REF!</definedName>
    <definedName name="MLNK7586c74528b54c32aec2be58fd578869" hidden="1">#REF!</definedName>
    <definedName name="MLNK75cfff200780462da3dcec6b0350fe13" localSheetId="10" hidden="1">#REF!</definedName>
    <definedName name="MLNK75cfff200780462da3dcec6b0350fe13" localSheetId="8" hidden="1">#REF!</definedName>
    <definedName name="MLNK75cfff200780462da3dcec6b0350fe13" hidden="1">#REF!</definedName>
    <definedName name="MLNK75fed7b1a5d344618cc0a1d861ff8665" localSheetId="10" hidden="1">#REF!</definedName>
    <definedName name="MLNK75fed7b1a5d344618cc0a1d861ff8665" localSheetId="8" hidden="1">#REF!</definedName>
    <definedName name="MLNK75fed7b1a5d344618cc0a1d861ff8665" hidden="1">#REF!</definedName>
    <definedName name="MLNK76fea2f65b2c4015983773cce88188ba" localSheetId="10" hidden="1">#REF!</definedName>
    <definedName name="MLNK76fea2f65b2c4015983773cce88188ba" localSheetId="8" hidden="1">#REF!</definedName>
    <definedName name="MLNK76fea2f65b2c4015983773cce88188ba" localSheetId="11" hidden="1">#REF!</definedName>
    <definedName name="MLNK76fea2f65b2c4015983773cce88188ba" hidden="1">#REF!</definedName>
    <definedName name="MLNK7717dbd64b4f4e368a87cd7134213489" localSheetId="10" hidden="1">#REF!</definedName>
    <definedName name="MLNK7717dbd64b4f4e368a87cd7134213489" localSheetId="8" hidden="1">#REF!</definedName>
    <definedName name="MLNK7717dbd64b4f4e368a87cd7134213489" hidden="1">#REF!</definedName>
    <definedName name="MLNK776e206f7b34477d9fe2261fc720ce07" localSheetId="10" hidden="1">#REF!</definedName>
    <definedName name="MLNK776e206f7b34477d9fe2261fc720ce07" localSheetId="8" hidden="1">#REF!</definedName>
    <definedName name="MLNK776e206f7b34477d9fe2261fc720ce07" hidden="1">#REF!</definedName>
    <definedName name="MLNK78198bd7015f42f599923a8e585086b5" localSheetId="8" hidden="1">#REF!</definedName>
    <definedName name="MLNK78198bd7015f42f599923a8e585086b5" hidden="1">#REF!</definedName>
    <definedName name="MLNK78afc04f88f94fb2a2de1a68e9f170f3" localSheetId="8" hidden="1">#REF!</definedName>
    <definedName name="MLNK78afc04f88f94fb2a2de1a68e9f170f3" hidden="1">#REF!</definedName>
    <definedName name="MLNK79515637e4784aa7b54851b3bf4ee9d0" localSheetId="8" hidden="1">#REF!</definedName>
    <definedName name="MLNK79515637e4784aa7b54851b3bf4ee9d0" hidden="1">#REF!</definedName>
    <definedName name="MLNK79518544eb1e4239bad2c4df986bfcb2" localSheetId="8" hidden="1">#REF!</definedName>
    <definedName name="MLNK79518544eb1e4239bad2c4df986bfcb2" hidden="1">#REF!</definedName>
    <definedName name="MLNK79c185f0a9ff46d49295c3ad86d88745" localSheetId="8" hidden="1">#REF!</definedName>
    <definedName name="MLNK79c185f0a9ff46d49295c3ad86d88745" hidden="1">#REF!</definedName>
    <definedName name="MLNK7ab4431700474b12aad45a0e8e119c10" localSheetId="8" hidden="1">#REF!</definedName>
    <definedName name="MLNK7ab4431700474b12aad45a0e8e119c10" hidden="1">#REF!</definedName>
    <definedName name="MLNK7b2229d2956847c2bacafaddac3315c0" localSheetId="10" hidden="1">#REF!</definedName>
    <definedName name="MLNK7b2229d2956847c2bacafaddac3315c0" localSheetId="8" hidden="1">#REF!</definedName>
    <definedName name="MLNK7b2229d2956847c2bacafaddac3315c0" localSheetId="11" hidden="1">#REF!</definedName>
    <definedName name="MLNK7b2229d2956847c2bacafaddac3315c0" hidden="1">#REF!</definedName>
    <definedName name="MLNK7bdd4a8943c247d98d9afc0cccf057c7" localSheetId="10" hidden="1">#REF!</definedName>
    <definedName name="MLNK7bdd4a8943c247d98d9afc0cccf057c7" localSheetId="8" hidden="1">#REF!</definedName>
    <definedName name="MLNK7bdd4a8943c247d98d9afc0cccf057c7" hidden="1">#REF!</definedName>
    <definedName name="MLNK7d44ae3b8fb748759c025ff240f58bb1" localSheetId="10" hidden="1">#REF!</definedName>
    <definedName name="MLNK7d44ae3b8fb748759c025ff240f58bb1" localSheetId="8" hidden="1">#REF!</definedName>
    <definedName name="MLNK7d44ae3b8fb748759c025ff240f58bb1" hidden="1">#REF!</definedName>
    <definedName name="MLNK7dc1b60e98604641860cb357980c435e" localSheetId="10" hidden="1" xml:space="preserve"> '[31]UPR Fcst'!#REF!</definedName>
    <definedName name="MLNK7dc1b60e98604641860cb357980c435e" localSheetId="8" hidden="1" xml:space="preserve"> '[31]UPR Fcst'!#REF!</definedName>
    <definedName name="MLNK7dc1b60e98604641860cb357980c435e" localSheetId="11" hidden="1" xml:space="preserve"> '[31]UPR Fcst'!#REF!</definedName>
    <definedName name="MLNK7dc1b60e98604641860cb357980c435e" localSheetId="7" hidden="1" xml:space="preserve"> '[31]UPR Fcst'!#REF!</definedName>
    <definedName name="MLNK7dc1b60e98604641860cb357980c435e" hidden="1" xml:space="preserve"> '[31]UPR Fcst'!#REF!</definedName>
    <definedName name="MLNK7dcaa5a87c7247068b76a43a8dd42b7d" localSheetId="10" hidden="1">#REF!</definedName>
    <definedName name="MLNK7dcaa5a87c7247068b76a43a8dd42b7d" localSheetId="8" hidden="1">#REF!</definedName>
    <definedName name="MLNK7dcaa5a87c7247068b76a43a8dd42b7d" localSheetId="11" hidden="1">#REF!</definedName>
    <definedName name="MLNK7dcaa5a87c7247068b76a43a8dd42b7d" hidden="1">#REF!</definedName>
    <definedName name="MLNK7ddf4f9db0324f7ebf9355303eb31c1f" localSheetId="10" hidden="1">#REF!</definedName>
    <definedName name="MLNK7ddf4f9db0324f7ebf9355303eb31c1f" localSheetId="8" hidden="1">#REF!</definedName>
    <definedName name="MLNK7ddf4f9db0324f7ebf9355303eb31c1f" localSheetId="11" hidden="1">#REF!</definedName>
    <definedName name="MLNK7ddf4f9db0324f7ebf9355303eb31c1f" hidden="1">#REF!</definedName>
    <definedName name="MLNK7ebcc979ebd94d74a778743b7667dc5c" localSheetId="8" hidden="1">#REF!</definedName>
    <definedName name="MLNK7ebcc979ebd94d74a778743b7667dc5c" hidden="1">#REF!</definedName>
    <definedName name="MLNK7ef2886e3c5b4aef813d8064e0a67da3" localSheetId="8" hidden="1">#REF!</definedName>
    <definedName name="MLNK7ef2886e3c5b4aef813d8064e0a67da3" hidden="1">#REF!</definedName>
    <definedName name="MLNK7f3b2b5f505341e2953ae07dd22a644d" localSheetId="8" hidden="1">#REF!</definedName>
    <definedName name="MLNK7f3b2b5f505341e2953ae07dd22a644d" hidden="1">#REF!</definedName>
    <definedName name="MLNK7fb0284a33ca45b6bc8db27e6722b74e" localSheetId="8" hidden="1">#REF!</definedName>
    <definedName name="MLNK7fb0284a33ca45b6bc8db27e6722b74e" hidden="1">#REF!</definedName>
    <definedName name="MLNK80e30c2279ce4a1c964731ffa1934673" localSheetId="8" hidden="1">#REF!</definedName>
    <definedName name="MLNK80e30c2279ce4a1c964731ffa1934673" hidden="1">#REF!</definedName>
    <definedName name="MLNK80e41df743d74118bf3cf2ba320c8cb9" localSheetId="8" hidden="1">#REF!</definedName>
    <definedName name="MLNK80e41df743d74118bf3cf2ba320c8cb9" hidden="1">#REF!</definedName>
    <definedName name="MLNK811988d6250a4f708b3574f3f52b2699" localSheetId="8" hidden="1">#REF!</definedName>
    <definedName name="MLNK811988d6250a4f708b3574f3f52b2699" hidden="1">#REF!</definedName>
    <definedName name="MLNK819b54474d124f0e9e3fea62de36062a" localSheetId="8" hidden="1">#REF!</definedName>
    <definedName name="MLNK819b54474d124f0e9e3fea62de36062a" hidden="1">#REF!</definedName>
    <definedName name="MLNK81a613552b8d452aa971184139314877" localSheetId="8" hidden="1">#REF!</definedName>
    <definedName name="MLNK81a613552b8d452aa971184139314877" hidden="1">#REF!</definedName>
    <definedName name="MLNK820c2a12b47f4a3c985b400c17ec56b5" localSheetId="8" hidden="1">#REF!</definedName>
    <definedName name="MLNK820c2a12b47f4a3c985b400c17ec56b5" hidden="1">#REF!</definedName>
    <definedName name="MLNK827bbde68c754473b757a8c8abb0abbb" localSheetId="8" hidden="1">#REF!</definedName>
    <definedName name="MLNK827bbde68c754473b757a8c8abb0abbb" hidden="1">#REF!</definedName>
    <definedName name="MLNK8396db9410954821841a1bdd1cee3738" localSheetId="10" hidden="1">#REF!</definedName>
    <definedName name="MLNK8396db9410954821841a1bdd1cee3738" localSheetId="8" hidden="1">#REF!</definedName>
    <definedName name="MLNK8396db9410954821841a1bdd1cee3738" localSheetId="11" hidden="1">#REF!</definedName>
    <definedName name="MLNK8396db9410954821841a1bdd1cee3738" hidden="1">#REF!</definedName>
    <definedName name="MLNK84049fb093174bb1b26120e50bd191e8" localSheetId="10" hidden="1">#REF!</definedName>
    <definedName name="MLNK84049fb093174bb1b26120e50bd191e8" localSheetId="8" hidden="1">#REF!</definedName>
    <definedName name="MLNK84049fb093174bb1b26120e50bd191e8" hidden="1">#REF!</definedName>
    <definedName name="MLNK847e7ca4a4a242e1bb6cf1855fadc504" localSheetId="10" hidden="1">#REF!</definedName>
    <definedName name="MLNK847e7ca4a4a242e1bb6cf1855fadc504" localSheetId="8" hidden="1">#REF!</definedName>
    <definedName name="MLNK847e7ca4a4a242e1bb6cf1855fadc504" localSheetId="11" hidden="1">#REF!</definedName>
    <definedName name="MLNK847e7ca4a4a242e1bb6cf1855fadc504" hidden="1">#REF!</definedName>
    <definedName name="MLNK866cca8ff8ec48cc93e8c250448cdf2a" localSheetId="10" hidden="1">#REF!</definedName>
    <definedName name="MLNK866cca8ff8ec48cc93e8c250448cdf2a" localSheetId="8" hidden="1">#REF!</definedName>
    <definedName name="MLNK866cca8ff8ec48cc93e8c250448cdf2a" hidden="1">#REF!</definedName>
    <definedName name="MLNK869e0e4728fa40b78dfa0e2b980196da" localSheetId="10" hidden="1">#REF!</definedName>
    <definedName name="MLNK869e0e4728fa40b78dfa0e2b980196da" localSheetId="8" hidden="1">#REF!</definedName>
    <definedName name="MLNK869e0e4728fa40b78dfa0e2b980196da" localSheetId="11" hidden="1">#REF!</definedName>
    <definedName name="MLNK869e0e4728fa40b78dfa0e2b980196da" hidden="1">#REF!</definedName>
    <definedName name="MLNK86f97346d0a840ad8c439bc1929be8cf" localSheetId="10" hidden="1">#REF!</definedName>
    <definedName name="MLNK86f97346d0a840ad8c439bc1929be8cf" localSheetId="8" hidden="1">#REF!</definedName>
    <definedName name="MLNK86f97346d0a840ad8c439bc1929be8cf" hidden="1">#REF!</definedName>
    <definedName name="MLNK87588a7692c844439f842dd6417e3483" localSheetId="10" hidden="1">#REF!</definedName>
    <definedName name="MLNK87588a7692c844439f842dd6417e3483" localSheetId="8" hidden="1">#REF!</definedName>
    <definedName name="MLNK87588a7692c844439f842dd6417e3483" hidden="1">#REF!</definedName>
    <definedName name="MLNK88492eb2e92d43ae8fb3d16da3c4120a" localSheetId="8" hidden="1">#REF!</definedName>
    <definedName name="MLNK88492eb2e92d43ae8fb3d16da3c4120a" hidden="1">#REF!</definedName>
    <definedName name="MLNK889fe013cd6d444e8eea8a3b3a056bd0" localSheetId="8" hidden="1">#REF!</definedName>
    <definedName name="MLNK889fe013cd6d444e8eea8a3b3a056bd0" hidden="1">#REF!</definedName>
    <definedName name="MLNK88cc4edfffba4398b4ed2ebeb85d2376" localSheetId="8" hidden="1">#REF!</definedName>
    <definedName name="MLNK88cc4edfffba4398b4ed2ebeb85d2376" hidden="1">#REF!</definedName>
    <definedName name="MLNK88d90c390dca4e7e82cae88ea2652b89" localSheetId="8" hidden="1">#REF!</definedName>
    <definedName name="MLNK88d90c390dca4e7e82cae88ea2652b89" hidden="1">#REF!</definedName>
    <definedName name="MLNK89abd7b3eeca4827adb9fbfbd9f9af0e" localSheetId="8" hidden="1">#REF!</definedName>
    <definedName name="MLNK89abd7b3eeca4827adb9fbfbd9f9af0e" hidden="1">#REF!</definedName>
    <definedName name="MLNK8af6e60d05ef41d79a30dc72856cdbee" localSheetId="8" hidden="1">#REF!</definedName>
    <definedName name="MLNK8af6e60d05ef41d79a30dc72856cdbee" hidden="1">#REF!</definedName>
    <definedName name="MLNK8b4b7de34bef406487decb310af2eeb4" localSheetId="10" hidden="1">#REF!</definedName>
    <definedName name="MLNK8b4b7de34bef406487decb310af2eeb4" localSheetId="8" hidden="1">#REF!</definedName>
    <definedName name="MLNK8b4b7de34bef406487decb310af2eeb4" localSheetId="11" hidden="1">#REF!</definedName>
    <definedName name="MLNK8b4b7de34bef406487decb310af2eeb4" hidden="1">#REF!</definedName>
    <definedName name="MLNK8bb79c82040d4484b3816f6f7b72d5d4" localSheetId="10" hidden="1">#REF!</definedName>
    <definedName name="MLNK8bb79c82040d4484b3816f6f7b72d5d4" localSheetId="8" hidden="1">#REF!</definedName>
    <definedName name="MLNK8bb79c82040d4484b3816f6f7b72d5d4" localSheetId="11" hidden="1">#REF!</definedName>
    <definedName name="MLNK8bb79c82040d4484b3816f6f7b72d5d4" hidden="1">#REF!</definedName>
    <definedName name="MLNK8bb8e5a13b0e4054a5aa434d7650ebff" localSheetId="10" hidden="1">#REF!</definedName>
    <definedName name="MLNK8bb8e5a13b0e4054a5aa434d7650ebff" localSheetId="8" hidden="1">#REF!</definedName>
    <definedName name="MLNK8bb8e5a13b0e4054a5aa434d7650ebff" hidden="1">#REF!</definedName>
    <definedName name="MLNK8c9868abe09d492d97763b5181936f82" localSheetId="10" hidden="1">#REF!</definedName>
    <definedName name="MLNK8c9868abe09d492d97763b5181936f82" localSheetId="8" hidden="1">#REF!</definedName>
    <definedName name="MLNK8c9868abe09d492d97763b5181936f82" localSheetId="11" hidden="1">#REF!</definedName>
    <definedName name="MLNK8c9868abe09d492d97763b5181936f82" hidden="1">#REF!</definedName>
    <definedName name="MLNK8cca239a83654e938e539ccbc3626f0d" localSheetId="10" hidden="1">#REF!</definedName>
    <definedName name="MLNK8cca239a83654e938e539ccbc3626f0d" localSheetId="8" hidden="1">#REF!</definedName>
    <definedName name="MLNK8cca239a83654e938e539ccbc3626f0d" hidden="1">#REF!</definedName>
    <definedName name="MLNK8d1fec7a101845718ec1b31336d59a8b" localSheetId="10" hidden="1">#REF!</definedName>
    <definedName name="MLNK8d1fec7a101845718ec1b31336d59a8b" localSheetId="8" hidden="1">#REF!</definedName>
    <definedName name="MLNK8d1fec7a101845718ec1b31336d59a8b" hidden="1">#REF!</definedName>
    <definedName name="MLNK8ddf68f182e942319a0a75c5bdfb92a4" localSheetId="10" hidden="1">#REF!</definedName>
    <definedName name="MLNK8ddf68f182e942319a0a75c5bdfb92a4" localSheetId="8" hidden="1">#REF!</definedName>
    <definedName name="MLNK8ddf68f182e942319a0a75c5bdfb92a4" localSheetId="11" hidden="1">#REF!</definedName>
    <definedName name="MLNK8ddf68f182e942319a0a75c5bdfb92a4" hidden="1">#REF!</definedName>
    <definedName name="MLNK8edb8209051f4f798a92546d1b2214e6" localSheetId="10" hidden="1">#REF!</definedName>
    <definedName name="MLNK8edb8209051f4f798a92546d1b2214e6" localSheetId="8" hidden="1">#REF!</definedName>
    <definedName name="MLNK8edb8209051f4f798a92546d1b2214e6" hidden="1">#REF!</definedName>
    <definedName name="MLNK8f0fd326f97b402ea1f2b6fb91b79004" localSheetId="10" hidden="1">#REF!</definedName>
    <definedName name="MLNK8f0fd326f97b402ea1f2b6fb91b79004" localSheetId="8" hidden="1">#REF!</definedName>
    <definedName name="MLNK8f0fd326f97b402ea1f2b6fb91b79004" hidden="1">#REF!</definedName>
    <definedName name="MLNK91042598dd4d48f9a3a5961b626a97be" localSheetId="10" hidden="1">#REF!</definedName>
    <definedName name="MLNK91042598dd4d48f9a3a5961b626a97be" localSheetId="8" hidden="1">#REF!</definedName>
    <definedName name="MLNK91042598dd4d48f9a3a5961b626a97be" localSheetId="11" hidden="1">#REF!</definedName>
    <definedName name="MLNK91042598dd4d48f9a3a5961b626a97be" hidden="1">#REF!</definedName>
    <definedName name="MLNK91a2c28d4b654ce7807c0ff0e49bc91a" localSheetId="10" hidden="1">#REF!</definedName>
    <definedName name="MLNK91a2c28d4b654ce7807c0ff0e49bc91a" localSheetId="8" hidden="1">#REF!</definedName>
    <definedName name="MLNK91a2c28d4b654ce7807c0ff0e49bc91a" hidden="1">#REF!</definedName>
    <definedName name="MLNK92138ec22c3e458ea27db72e9db740b0" localSheetId="10" hidden="1">#REF!</definedName>
    <definedName name="MLNK92138ec22c3e458ea27db72e9db740b0" localSheetId="8" hidden="1">#REF!</definedName>
    <definedName name="MLNK92138ec22c3e458ea27db72e9db740b0" hidden="1">#REF!</definedName>
    <definedName name="MLNK923cc8a94e3c4192b594ed402ccea5c1" localSheetId="8" hidden="1">#REF!</definedName>
    <definedName name="MLNK923cc8a94e3c4192b594ed402ccea5c1" hidden="1">#REF!</definedName>
    <definedName name="MLNK92debea704f94bf79b7e748022199504" localSheetId="8" hidden="1">#REF!</definedName>
    <definedName name="MLNK92debea704f94bf79b7e748022199504" hidden="1">#REF!</definedName>
    <definedName name="MLNK9369c50d1537418ba144f121a3aa92f4" localSheetId="8" hidden="1">#REF!</definedName>
    <definedName name="MLNK9369c50d1537418ba144f121a3aa92f4" hidden="1">#REF!</definedName>
    <definedName name="MLNK93b927d86f0143cc99b233ac64d83956" hidden="1" xml:space="preserve"> '[30]GF Budget'!$B$5:$R$53</definedName>
    <definedName name="MLNK93ee80bdbdd4474888dd3b666916415c" localSheetId="10" hidden="1">#REF!</definedName>
    <definedName name="MLNK93ee80bdbdd4474888dd3b666916415c" localSheetId="3" hidden="1">#REF!</definedName>
    <definedName name="MLNK93ee80bdbdd4474888dd3b666916415c" localSheetId="8" hidden="1">#REF!</definedName>
    <definedName name="MLNK93ee80bdbdd4474888dd3b666916415c" localSheetId="11" hidden="1">#REF!</definedName>
    <definedName name="MLNK93ee80bdbdd4474888dd3b666916415c" hidden="1">#REF!</definedName>
    <definedName name="MLNK9470b29f89cb476ab5ab6454188ec242" localSheetId="8" hidden="1">#REF!</definedName>
    <definedName name="MLNK9470b29f89cb476ab5ab6454188ec242" hidden="1">#REF!</definedName>
    <definedName name="MLNK94a72e226b1841c69836e117f7d264e0" localSheetId="8" hidden="1">#REF!</definedName>
    <definedName name="MLNK94a72e226b1841c69836e117f7d264e0" hidden="1">#REF!</definedName>
    <definedName name="MLNK955edca74ed1456dbc18c5e93f19dc77" localSheetId="8" hidden="1">#REF!</definedName>
    <definedName name="MLNK955edca74ed1456dbc18c5e93f19dc77" hidden="1">#REF!</definedName>
    <definedName name="MLNK9570a7e591704b08a74b41a5d9bae695" localSheetId="8" hidden="1">#REF!</definedName>
    <definedName name="MLNK9570a7e591704b08a74b41a5d9bae695" hidden="1">#REF!</definedName>
    <definedName name="MLNK97403d2bf29d45c2afdedec484e8b0e1" localSheetId="8" hidden="1">#REF!</definedName>
    <definedName name="MLNK97403d2bf29d45c2afdedec484e8b0e1" hidden="1">#REF!</definedName>
    <definedName name="MLNK9872e82cd1a0411eb1db7f06eca5cc98" localSheetId="10" hidden="1">#REF!</definedName>
    <definedName name="MLNK9872e82cd1a0411eb1db7f06eca5cc98" localSheetId="8" hidden="1">#REF!</definedName>
    <definedName name="MLNK9872e82cd1a0411eb1db7f06eca5cc98" localSheetId="11" hidden="1">#REF!</definedName>
    <definedName name="MLNK9872e82cd1a0411eb1db7f06eca5cc98" hidden="1">#REF!</definedName>
    <definedName name="MLNK9960ce205b024d159716c3ce4936c881" localSheetId="10" hidden="1">#REF!</definedName>
    <definedName name="MLNK9960ce205b024d159716c3ce4936c881" localSheetId="8" hidden="1">#REF!</definedName>
    <definedName name="MLNK9960ce205b024d159716c3ce4936c881" localSheetId="11" hidden="1">#REF!</definedName>
    <definedName name="MLNK9960ce205b024d159716c3ce4936c881" hidden="1">#REF!</definedName>
    <definedName name="MLNK999d13581f694d4ba486490b078876f2" localSheetId="10" hidden="1">#REF!</definedName>
    <definedName name="MLNK999d13581f694d4ba486490b078876f2" localSheetId="8" hidden="1">#REF!</definedName>
    <definedName name="MLNK999d13581f694d4ba486490b078876f2" hidden="1">#REF!</definedName>
    <definedName name="MLNK9b10c5b6335e4b30a3912ec2b1c576da" localSheetId="10" hidden="1">#REF!</definedName>
    <definedName name="MLNK9b10c5b6335e4b30a3912ec2b1c576da" localSheetId="8" hidden="1">#REF!</definedName>
    <definedName name="MLNK9b10c5b6335e4b30a3912ec2b1c576da" hidden="1">#REF!</definedName>
    <definedName name="MLNK9b4c0e419e214f9f9bb282c52f22aa2f" localSheetId="8" hidden="1">#REF!</definedName>
    <definedName name="MLNK9b4c0e419e214f9f9bb282c52f22aa2f" hidden="1">#REF!</definedName>
    <definedName name="MLNK9c080c3c47054527b7506bc65c7449a8" localSheetId="8" hidden="1">#REF!</definedName>
    <definedName name="MLNK9c080c3c47054527b7506bc65c7449a8" hidden="1">#REF!</definedName>
    <definedName name="MLNK9c536454db82435bbd4c2fe2390cc7e6" localSheetId="8" hidden="1">#REF!</definedName>
    <definedName name="MLNK9c536454db82435bbd4c2fe2390cc7e6" hidden="1">#REF!</definedName>
    <definedName name="MLNK9cb237b3ae60460782dd06ffcc94d176" localSheetId="8" hidden="1">#REF!</definedName>
    <definedName name="MLNK9cb237b3ae60460782dd06ffcc94d176" hidden="1">#REF!</definedName>
    <definedName name="MLNK9d5e29c21d444f83a3d5169a1a7c3f6f" localSheetId="8" hidden="1">#REF!</definedName>
    <definedName name="MLNK9d5e29c21d444f83a3d5169a1a7c3f6f" hidden="1">#REF!</definedName>
    <definedName name="MLNK9d74016a436444f5ad4a81861f1a6148" localSheetId="8" hidden="1">#REF!</definedName>
    <definedName name="MLNK9d74016a436444f5ad4a81861f1a6148" hidden="1">#REF!</definedName>
    <definedName name="MLNK9dcf8d6ad50c4be6bb8591c8b7b857c8" localSheetId="8" hidden="1">#REF!</definedName>
    <definedName name="MLNK9dcf8d6ad50c4be6bb8591c8b7b857c8" hidden="1">#REF!</definedName>
    <definedName name="MLNK9e1a9dda33e14902a6dd0673b256826b" localSheetId="8" hidden="1">#REF!</definedName>
    <definedName name="MLNK9e1a9dda33e14902a6dd0673b256826b" hidden="1">#REF!</definedName>
    <definedName name="MLNK9e8b43e038ae4e2ba9733b86fd90fe71" localSheetId="8" hidden="1">#REF!</definedName>
    <definedName name="MLNK9e8b43e038ae4e2ba9733b86fd90fe71" hidden="1">#REF!</definedName>
    <definedName name="MLNK9ef4dac6e4c84b458fc5f55c61125436" localSheetId="8" hidden="1">#REF!</definedName>
    <definedName name="MLNK9ef4dac6e4c84b458fc5f55c61125436" hidden="1">#REF!</definedName>
    <definedName name="MLNK9fd9933cf36142abbf30b1efe021931a" localSheetId="10" hidden="1">#REF!</definedName>
    <definedName name="MLNK9fd9933cf36142abbf30b1efe021931a" localSheetId="8" hidden="1">#REF!</definedName>
    <definedName name="MLNK9fd9933cf36142abbf30b1efe021931a" localSheetId="11" hidden="1">#REF!</definedName>
    <definedName name="MLNK9fd9933cf36142abbf30b1efe021931a" hidden="1">#REF!</definedName>
    <definedName name="MLNKa06fcdbf09ad4b959abcd6096bf0a309" localSheetId="10" hidden="1">#REF!</definedName>
    <definedName name="MLNKa06fcdbf09ad4b959abcd6096bf0a309" localSheetId="8" hidden="1">#REF!</definedName>
    <definedName name="MLNKa06fcdbf09ad4b959abcd6096bf0a309" localSheetId="11" hidden="1">#REF!</definedName>
    <definedName name="MLNKa06fcdbf09ad4b959abcd6096bf0a309" hidden="1">#REF!</definedName>
    <definedName name="MLNKa0b680364bd64b6bb7599d2495f4e278" localSheetId="10" hidden="1">#REF!</definedName>
    <definedName name="MLNKa0b680364bd64b6bb7599d2495f4e278" localSheetId="8" hidden="1">#REF!</definedName>
    <definedName name="MLNKa0b680364bd64b6bb7599d2495f4e278" hidden="1">#REF!</definedName>
    <definedName name="MLNKa0ecde0bfb884f3a8551e84a6a8f60b9" localSheetId="10" hidden="1">#REF!</definedName>
    <definedName name="MLNKa0ecde0bfb884f3a8551e84a6a8f60b9" localSheetId="8" hidden="1">#REF!</definedName>
    <definedName name="MLNKa0ecde0bfb884f3a8551e84a6a8f60b9" hidden="1">#REF!</definedName>
    <definedName name="MLNKa37684ad5e5c439fba3caf3e931ef589" localSheetId="10" hidden="1">#REF!</definedName>
    <definedName name="MLNKa37684ad5e5c439fba3caf3e931ef589" localSheetId="8" hidden="1">#REF!</definedName>
    <definedName name="MLNKa37684ad5e5c439fba3caf3e931ef589" localSheetId="11" hidden="1">#REF!</definedName>
    <definedName name="MLNKa37684ad5e5c439fba3caf3e931ef589" hidden="1">#REF!</definedName>
    <definedName name="MLNKa39050e76e34480aba1652cfb53b94e0" localSheetId="10" hidden="1">#REF!</definedName>
    <definedName name="MLNKa39050e76e34480aba1652cfb53b94e0" localSheetId="8" hidden="1">#REF!</definedName>
    <definedName name="MLNKa39050e76e34480aba1652cfb53b94e0" hidden="1">#REF!</definedName>
    <definedName name="MLNKa3a7625c9eb5408485d4ecbd181f23fc" localSheetId="10" hidden="1">#REF!</definedName>
    <definedName name="MLNKa3a7625c9eb5408485d4ecbd181f23fc" localSheetId="8" hidden="1">#REF!</definedName>
    <definedName name="MLNKa3a7625c9eb5408485d4ecbd181f23fc" hidden="1">#REF!</definedName>
    <definedName name="MLNKa4241d13e4bc4b39bad2e35c0e9d7ab6" localSheetId="8" hidden="1">#REF!</definedName>
    <definedName name="MLNKa4241d13e4bc4b39bad2e35c0e9d7ab6" hidden="1">#REF!</definedName>
    <definedName name="MLNKa45f0b5d58ae4ea698d724401b69a749" localSheetId="8" hidden="1">#REF!</definedName>
    <definedName name="MLNKa45f0b5d58ae4ea698d724401b69a749" hidden="1">#REF!</definedName>
    <definedName name="MLNKa57dbd7b02de435f870166c7bda74f98" localSheetId="8" hidden="1">#REF!</definedName>
    <definedName name="MLNKa57dbd7b02de435f870166c7bda74f98" hidden="1">#REF!</definedName>
    <definedName name="MLNKa638583f96504e62abdc8491d2248f1b" localSheetId="8" hidden="1">#REF!</definedName>
    <definedName name="MLNKa638583f96504e62abdc8491d2248f1b" hidden="1">#REF!</definedName>
    <definedName name="MLNKa641d40d22c24cfca1394053f04d5537" localSheetId="8" hidden="1">#REF!</definedName>
    <definedName name="MLNKa641d40d22c24cfca1394053f04d5537" hidden="1">#REF!</definedName>
    <definedName name="MLNKa6a2b4c999754b6fa587294734a84eed" localSheetId="8" hidden="1">#REF!</definedName>
    <definedName name="MLNKa6a2b4c999754b6fa587294734a84eed" hidden="1">#REF!</definedName>
    <definedName name="MLNKa6ae728097774d5ba9301ffca4f74b11" localSheetId="8" hidden="1">#REF!</definedName>
    <definedName name="MLNKa6ae728097774d5ba9301ffca4f74b11" hidden="1">#REF!</definedName>
    <definedName name="MLNKa6c0e0237cac402cabd6204e6e59d7a5" localSheetId="8" hidden="1">#REF!</definedName>
    <definedName name="MLNKa6c0e0237cac402cabd6204e6e59d7a5" hidden="1">#REF!</definedName>
    <definedName name="MLNKa7b67ae77b284e35ae2b5f5bb9575b07" localSheetId="10" hidden="1">#REF!</definedName>
    <definedName name="MLNKa7b67ae77b284e35ae2b5f5bb9575b07" localSheetId="8" hidden="1">#REF!</definedName>
    <definedName name="MLNKa7b67ae77b284e35ae2b5f5bb9575b07" localSheetId="11" hidden="1">#REF!</definedName>
    <definedName name="MLNKa7b67ae77b284e35ae2b5f5bb9575b07" hidden="1">#REF!</definedName>
    <definedName name="MLNKa7e24b1e0aa14069b0ba2ebfa0a6bd41" localSheetId="10" hidden="1">#REF!</definedName>
    <definedName name="MLNKa7e24b1e0aa14069b0ba2ebfa0a6bd41" localSheetId="8" hidden="1">#REF!</definedName>
    <definedName name="MLNKa7e24b1e0aa14069b0ba2ebfa0a6bd41" hidden="1">#REF!</definedName>
    <definedName name="MLNKa7f7d52d146745979d9706bffbe6198f" localSheetId="10" hidden="1">#REF!</definedName>
    <definedName name="MLNKa7f7d52d146745979d9706bffbe6198f" localSheetId="8" hidden="1">#REF!</definedName>
    <definedName name="MLNKa7f7d52d146745979d9706bffbe6198f" hidden="1">#REF!</definedName>
    <definedName name="MLNKa8003a7005074dd4b91fd919082934b4" localSheetId="8" hidden="1">#REF!</definedName>
    <definedName name="MLNKa8003a7005074dd4b91fd919082934b4" hidden="1">#REF!</definedName>
    <definedName name="MLNKa891951608d940f0b5453cea58d1ca19" localSheetId="10" hidden="1">#REF!</definedName>
    <definedName name="MLNKa891951608d940f0b5453cea58d1ca19" localSheetId="8" hidden="1">#REF!</definedName>
    <definedName name="MLNKa891951608d940f0b5453cea58d1ca19" localSheetId="11" hidden="1">#REF!</definedName>
    <definedName name="MLNKa891951608d940f0b5453cea58d1ca19" hidden="1">#REF!</definedName>
    <definedName name="MLNKa9096654227746cba3b1e72d845b84ec" hidden="1" xml:space="preserve">   '[30]GF Budget'!$B$5:$R$53</definedName>
    <definedName name="MLNKa92d7f7227464481a58fce804523c660" localSheetId="10" hidden="1">#REF!</definedName>
    <definedName name="MLNKa92d7f7227464481a58fce804523c660" localSheetId="8" hidden="1">#REF!</definedName>
    <definedName name="MLNKa92d7f7227464481a58fce804523c660" localSheetId="11" hidden="1">#REF!</definedName>
    <definedName name="MLNKa92d7f7227464481a58fce804523c660" hidden="1">#REF!</definedName>
    <definedName name="MLNKa96dfec67e7d42c185eddf571b4a0871" localSheetId="10" hidden="1">#REF!</definedName>
    <definedName name="MLNKa96dfec67e7d42c185eddf571b4a0871" localSheetId="8" hidden="1">#REF!</definedName>
    <definedName name="MLNKa96dfec67e7d42c185eddf571b4a0871" localSheetId="11" hidden="1">#REF!</definedName>
    <definedName name="MLNKa96dfec67e7d42c185eddf571b4a0871" hidden="1">#REF!</definedName>
    <definedName name="MLNKa9b72ee297dc4b6b82fd726e8ceed72e" localSheetId="8" hidden="1">#REF!</definedName>
    <definedName name="MLNKa9b72ee297dc4b6b82fd726e8ceed72e" hidden="1">#REF!</definedName>
    <definedName name="MLNKa9c3041995b9474f9a59fd740ee8ef41" localSheetId="8" hidden="1">#REF!</definedName>
    <definedName name="MLNKa9c3041995b9474f9a59fd740ee8ef41" hidden="1">#REF!</definedName>
    <definedName name="MLNKaaa54138778c4ed398d9c92f594c3692" localSheetId="8" hidden="1">#REF!</definedName>
    <definedName name="MLNKaaa54138778c4ed398d9c92f594c3692" hidden="1">#REF!</definedName>
    <definedName name="MLNKabdb601947de4e1f8d5ee0de13110117" localSheetId="10" hidden="1">#REF!</definedName>
    <definedName name="MLNKabdb601947de4e1f8d5ee0de13110117" localSheetId="8" hidden="1">#REF!</definedName>
    <definedName name="MLNKabdb601947de4e1f8d5ee0de13110117" localSheetId="11" hidden="1">#REF!</definedName>
    <definedName name="MLNKabdb601947de4e1f8d5ee0de13110117" hidden="1">#REF!</definedName>
    <definedName name="MLNKac79cba661f14184a139a93e111d3a40" localSheetId="10" hidden="1">#REF!</definedName>
    <definedName name="MLNKac79cba661f14184a139a93e111d3a40" localSheetId="8" hidden="1">#REF!</definedName>
    <definedName name="MLNKac79cba661f14184a139a93e111d3a40" hidden="1">#REF!</definedName>
    <definedName name="MLNKacaeb68fa0174607b702b054095283f1" localSheetId="10" hidden="1">#REF!</definedName>
    <definedName name="MLNKacaeb68fa0174607b702b054095283f1" localSheetId="8" hidden="1">#REF!</definedName>
    <definedName name="MLNKacaeb68fa0174607b702b054095283f1" hidden="1">#REF!</definedName>
    <definedName name="MLNKad0f0122808f4e6ca564f699b5d4df70" localSheetId="8" hidden="1">#REF!</definedName>
    <definedName name="MLNKad0f0122808f4e6ca564f699b5d4df70" hidden="1">#REF!</definedName>
    <definedName name="MLNKad6f939e009f43f29aea395bcb7ff7da" localSheetId="10" hidden="1">#REF!</definedName>
    <definedName name="MLNKad6f939e009f43f29aea395bcb7ff7da" localSheetId="8" hidden="1">#REF!</definedName>
    <definedName name="MLNKad6f939e009f43f29aea395bcb7ff7da" localSheetId="11" hidden="1">#REF!</definedName>
    <definedName name="MLNKad6f939e009f43f29aea395bcb7ff7da" hidden="1">#REF!</definedName>
    <definedName name="MLNKadae2988d338434fa6c1f93428bbcdba" localSheetId="10" hidden="1">#REF!</definedName>
    <definedName name="MLNKadae2988d338434fa6c1f93428bbcdba" localSheetId="8" hidden="1">#REF!</definedName>
    <definedName name="MLNKadae2988d338434fa6c1f93428bbcdba" hidden="1">#REF!</definedName>
    <definedName name="MLNKade14c001b4d484e97e8cb97712c662e" localSheetId="10" hidden="1">#REF!</definedName>
    <definedName name="MLNKade14c001b4d484e97e8cb97712c662e" localSheetId="8" hidden="1">#REF!</definedName>
    <definedName name="MLNKade14c001b4d484e97e8cb97712c662e" hidden="1">#REF!</definedName>
    <definedName name="MLNKaee04a1f5f4946128bac3cf1750d357e" hidden="1" xml:space="preserve">    [32]All_Measures!$A$3:$M$33</definedName>
    <definedName name="MLNKaee5ba47a48940498129a8b0c327aad7" localSheetId="10" hidden="1">#REF!</definedName>
    <definedName name="MLNKaee5ba47a48940498129a8b0c327aad7" localSheetId="3" hidden="1">#REF!</definedName>
    <definedName name="MLNKaee5ba47a48940498129a8b0c327aad7" localSheetId="8" hidden="1">#REF!</definedName>
    <definedName name="MLNKaee5ba47a48940498129a8b0c327aad7" localSheetId="11" hidden="1">#REF!</definedName>
    <definedName name="MLNKaee5ba47a48940498129a8b0c327aad7" hidden="1">#REF!</definedName>
    <definedName name="MLNKaeef41523bb6461a8ce9e28075b377e4" localSheetId="8" hidden="1">#REF!</definedName>
    <definedName name="MLNKaeef41523bb6461a8ce9e28075b377e4" hidden="1">#REF!</definedName>
    <definedName name="MLNKaf2e362f14b04b17806312aeb7d9faf9" localSheetId="8" hidden="1">#REF!</definedName>
    <definedName name="MLNKaf2e362f14b04b17806312aeb7d9faf9" hidden="1">#REF!</definedName>
    <definedName name="MLNKaf77800d7a8e4682894b3769276f31bb" localSheetId="8" hidden="1">#REF!</definedName>
    <definedName name="MLNKaf77800d7a8e4682894b3769276f31bb" hidden="1">#REF!</definedName>
    <definedName name="MLNKaf94d03758284d08a9bb51221502e5b0" localSheetId="8" hidden="1">#REF!</definedName>
    <definedName name="MLNKaf94d03758284d08a9bb51221502e5b0" hidden="1">#REF!</definedName>
    <definedName name="MLNKb010cd6e928d416d9e7983be69f79c50" localSheetId="10" hidden="1">#REF!</definedName>
    <definedName name="MLNKb010cd6e928d416d9e7983be69f79c50" localSheetId="8" hidden="1">#REF!</definedName>
    <definedName name="MLNKb010cd6e928d416d9e7983be69f79c50" localSheetId="11" hidden="1">#REF!</definedName>
    <definedName name="MLNKb010cd6e928d416d9e7983be69f79c50" hidden="1">#REF!</definedName>
    <definedName name="MLNKb04447d1db1847e587a3d9aa4f78fe6d" localSheetId="10" hidden="1">#REF!</definedName>
    <definedName name="MLNKb04447d1db1847e587a3d9aa4f78fe6d" localSheetId="8" hidden="1">#REF!</definedName>
    <definedName name="MLNKb04447d1db1847e587a3d9aa4f78fe6d" hidden="1">#REF!</definedName>
    <definedName name="MLNKb0473d7dd78c4a649f8526b1e37979d5" localSheetId="10" hidden="1">#REF!</definedName>
    <definedName name="MLNKb0473d7dd78c4a649f8526b1e37979d5" localSheetId="8" hidden="1">#REF!</definedName>
    <definedName name="MLNKb0473d7dd78c4a649f8526b1e37979d5" hidden="1">#REF!</definedName>
    <definedName name="MLNKb136cf7245024dee886809a08f751993" localSheetId="8" hidden="1">#REF!</definedName>
    <definedName name="MLNKb136cf7245024dee886809a08f751993" hidden="1">#REF!</definedName>
    <definedName name="MLNKb1c120e3e05f442caee363901edde9fc" localSheetId="8" hidden="1">#REF!</definedName>
    <definedName name="MLNKb1c120e3e05f442caee363901edde9fc" hidden="1">#REF!</definedName>
    <definedName name="MLNKb282340194064624b6cf45ee3a5d8cf3" localSheetId="8" hidden="1">#REF!</definedName>
    <definedName name="MLNKb282340194064624b6cf45ee3a5d8cf3" hidden="1">#REF!</definedName>
    <definedName name="MLNKb2e29bf6bb754010b2035460a63decd5" localSheetId="8" hidden="1">#REF!</definedName>
    <definedName name="MLNKb2e29bf6bb754010b2035460a63decd5" hidden="1">#REF!</definedName>
    <definedName name="MLNKb349298827dd451ca01eae8d451cbafa" localSheetId="10" hidden="1" xml:space="preserve"> '[31]UPR Fcst'!#REF!</definedName>
    <definedName name="MLNKb349298827dd451ca01eae8d451cbafa" localSheetId="8" hidden="1" xml:space="preserve"> '[31]UPR Fcst'!#REF!</definedName>
    <definedName name="MLNKb349298827dd451ca01eae8d451cbafa" localSheetId="11" hidden="1" xml:space="preserve"> '[31]UPR Fcst'!#REF!</definedName>
    <definedName name="MLNKb349298827dd451ca01eae8d451cbafa" localSheetId="7" hidden="1" xml:space="preserve"> '[31]UPR Fcst'!#REF!</definedName>
    <definedName name="MLNKb349298827dd451ca01eae8d451cbafa" hidden="1" xml:space="preserve"> '[31]UPR Fcst'!#REF!</definedName>
    <definedName name="MLNKb42d2ffc2880423dbdccee020c46e293" localSheetId="10" hidden="1">#REF!</definedName>
    <definedName name="MLNKb42d2ffc2880423dbdccee020c46e293" localSheetId="8" hidden="1">#REF!</definedName>
    <definedName name="MLNKb42d2ffc2880423dbdccee020c46e293" localSheetId="11" hidden="1">#REF!</definedName>
    <definedName name="MLNKb42d2ffc2880423dbdccee020c46e293" hidden="1">#REF!</definedName>
    <definedName name="MLNKb4f70c82a31a47ad83b8b7f15bf345a5" hidden="1" xml:space="preserve"> '[30]GF Budget'!$B$5:$R$53</definedName>
    <definedName name="MLNKb5508efe7987472ab4f953738785d4b4" localSheetId="10" hidden="1">#REF!</definedName>
    <definedName name="MLNKb5508efe7987472ab4f953738785d4b4" localSheetId="8" hidden="1">#REF!</definedName>
    <definedName name="MLNKb5508efe7987472ab4f953738785d4b4" localSheetId="11" hidden="1">#REF!</definedName>
    <definedName name="MLNKb5508efe7987472ab4f953738785d4b4" hidden="1">#REF!</definedName>
    <definedName name="MLNKb816d754e3344cc4be89f8ea0f8c9c94" localSheetId="10" hidden="1">#REF!</definedName>
    <definedName name="MLNKb816d754e3344cc4be89f8ea0f8c9c94" localSheetId="8" hidden="1">#REF!</definedName>
    <definedName name="MLNKb816d754e3344cc4be89f8ea0f8c9c94" localSheetId="11" hidden="1">#REF!</definedName>
    <definedName name="MLNKb816d754e3344cc4be89f8ea0f8c9c94" hidden="1">#REF!</definedName>
    <definedName name="MLNKb8583062930e424f8748226949f89f6c" localSheetId="8" hidden="1">#REF!</definedName>
    <definedName name="MLNKb8583062930e424f8748226949f89f6c" hidden="1">#REF!</definedName>
    <definedName name="MLNKb93d34857bb04fc1a64b9078ec23b406" localSheetId="8" hidden="1">#REF!</definedName>
    <definedName name="MLNKb93d34857bb04fc1a64b9078ec23b406" hidden="1">#REF!</definedName>
    <definedName name="MLNKb9755911bd834082a7d986a6b07d2f82" localSheetId="8" hidden="1">#REF!</definedName>
    <definedName name="MLNKb9755911bd834082a7d986a6b07d2f82" hidden="1">#REF!</definedName>
    <definedName name="MLNKb979ac6f0cab4975bab3cda822c3b1e3" hidden="1" xml:space="preserve">    [32]All_Measures!$A$4:$N$34</definedName>
    <definedName name="MLNKb994f9a4d891480782542be08cb5cc8d" localSheetId="10" hidden="1">#REF!</definedName>
    <definedName name="MLNKb994f9a4d891480782542be08cb5cc8d" localSheetId="3" hidden="1">#REF!</definedName>
    <definedName name="MLNKb994f9a4d891480782542be08cb5cc8d" localSheetId="8" hidden="1">#REF!</definedName>
    <definedName name="MLNKb994f9a4d891480782542be08cb5cc8d" localSheetId="11" hidden="1">#REF!</definedName>
    <definedName name="MLNKb994f9a4d891480782542be08cb5cc8d" hidden="1">#REF!</definedName>
    <definedName name="MLNKb99b6f56a9e34f35abe68b74e546b1f1" localSheetId="8" hidden="1">#REF!</definedName>
    <definedName name="MLNKb99b6f56a9e34f35abe68b74e546b1f1" hidden="1">#REF!</definedName>
    <definedName name="MLNKb9d53635a48a403cbdc3032cb2bb5329" hidden="1">'[31]Proprietary Fcst'!#REF!</definedName>
    <definedName name="MLNKbb604d3957e44542bb81978f13919299" localSheetId="10" hidden="1">#REF!</definedName>
    <definedName name="MLNKbb604d3957e44542bb81978f13919299" localSheetId="8" hidden="1">#REF!</definedName>
    <definedName name="MLNKbb604d3957e44542bb81978f13919299" localSheetId="11" hidden="1">#REF!</definedName>
    <definedName name="MLNKbb604d3957e44542bb81978f13919299" hidden="1">#REF!</definedName>
    <definedName name="MLNKbcc3d5689b41491a87ad560a88db4968" localSheetId="10" hidden="1">#REF!</definedName>
    <definedName name="MLNKbcc3d5689b41491a87ad560a88db4968" localSheetId="8" hidden="1">#REF!</definedName>
    <definedName name="MLNKbcc3d5689b41491a87ad560a88db4968" localSheetId="11" hidden="1">#REF!</definedName>
    <definedName name="MLNKbcc3d5689b41491a87ad560a88db4968" hidden="1">#REF!</definedName>
    <definedName name="MLNKbdb85fa7051540999df91804d0a0b119" localSheetId="10" hidden="1">#REF!</definedName>
    <definedName name="MLNKbdb85fa7051540999df91804d0a0b119" localSheetId="8" hidden="1">#REF!</definedName>
    <definedName name="MLNKbdb85fa7051540999df91804d0a0b119" localSheetId="11" hidden="1">#REF!</definedName>
    <definedName name="MLNKbdb85fa7051540999df91804d0a0b119" hidden="1">#REF!</definedName>
    <definedName name="MLNKbde3d65e80254dfb87342de54a856d45" localSheetId="10" hidden="1">#REF!</definedName>
    <definedName name="MLNKbde3d65e80254dfb87342de54a856d45" localSheetId="8" hidden="1">#REF!</definedName>
    <definedName name="MLNKbde3d65e80254dfb87342de54a856d45" hidden="1">#REF!</definedName>
    <definedName name="MLNKbea97a0855cb40a9bbf379974dfc80ef" localSheetId="10" hidden="1">#REF!</definedName>
    <definedName name="MLNKbea97a0855cb40a9bbf379974dfc80ef" localSheetId="8" hidden="1">#REF!</definedName>
    <definedName name="MLNKbea97a0855cb40a9bbf379974dfc80ef" localSheetId="11" hidden="1">#REF!</definedName>
    <definedName name="MLNKbea97a0855cb40a9bbf379974dfc80ef" hidden="1">#REF!</definedName>
    <definedName name="MLNKbeed6724f84944a3bc30e3d939a19213" localSheetId="10" hidden="1">#REF!</definedName>
    <definedName name="MLNKbeed6724f84944a3bc30e3d939a19213" localSheetId="8" hidden="1">#REF!</definedName>
    <definedName name="MLNKbeed6724f84944a3bc30e3d939a19213" hidden="1">#REF!</definedName>
    <definedName name="MLNKbeede1d2ef8843e498c74f8e4c0a3652" localSheetId="10" hidden="1">#REF!</definedName>
    <definedName name="MLNKbeede1d2ef8843e498c74f8e4c0a3652" localSheetId="8" hidden="1">#REF!</definedName>
    <definedName name="MLNKbeede1d2ef8843e498c74f8e4c0a3652" hidden="1">#REF!</definedName>
    <definedName name="MLNKbf09c822539741f2ad5743da6ba8f515" localSheetId="10" hidden="1">#REF!</definedName>
    <definedName name="MLNKbf09c822539741f2ad5743da6ba8f515" localSheetId="8" hidden="1">#REF!</definedName>
    <definedName name="MLNKbf09c822539741f2ad5743da6ba8f515" localSheetId="11" hidden="1">#REF!</definedName>
    <definedName name="MLNKbf09c822539741f2ad5743da6ba8f515" hidden="1">#REF!</definedName>
    <definedName name="MLNKbfb2535ee8da4dfaadd79b8d0747322e" localSheetId="10" hidden="1">#REF!</definedName>
    <definedName name="MLNKbfb2535ee8da4dfaadd79b8d0747322e" localSheetId="8" hidden="1">#REF!</definedName>
    <definedName name="MLNKbfb2535ee8da4dfaadd79b8d0747322e" hidden="1">#REF!</definedName>
    <definedName name="MLNKc090f0f8359f426190a3ea42e5d45556" localSheetId="10" hidden="1">#REF!</definedName>
    <definedName name="MLNKc090f0f8359f426190a3ea42e5d45556" localSheetId="8" hidden="1">#REF!</definedName>
    <definedName name="MLNKc090f0f8359f426190a3ea42e5d45556" hidden="1">#REF!</definedName>
    <definedName name="MLNKc0911c223c7c493098e644d1619b59b8" localSheetId="8" hidden="1">#REF!</definedName>
    <definedName name="MLNKc0911c223c7c493098e644d1619b59b8" hidden="1">#REF!</definedName>
    <definedName name="MLNKc0e85a2f8d55446c9fc535e85305a73a" localSheetId="8" hidden="1">#REF!</definedName>
    <definedName name="MLNKc0e85a2f8d55446c9fc535e85305a73a" hidden="1">#REF!</definedName>
    <definedName name="MLNKc17c01caf48f46be9271967eeaf0d1a7" localSheetId="8" hidden="1">#REF!</definedName>
    <definedName name="MLNKc17c01caf48f46be9271967eeaf0d1a7" hidden="1">#REF!</definedName>
    <definedName name="MLNKc1b2d591990d430da2fa806f29cc875d" localSheetId="8" hidden="1">#REF!</definedName>
    <definedName name="MLNKc1b2d591990d430da2fa806f29cc875d" hidden="1">#REF!</definedName>
    <definedName name="MLNKc22cecafb47244e890ad7ce55a9ceaf9" localSheetId="8" hidden="1">#REF!</definedName>
    <definedName name="MLNKc22cecafb47244e890ad7ce55a9ceaf9" hidden="1">#REF!</definedName>
    <definedName name="MLNKc23bb7e037854afdbfb318463627a51f" localSheetId="8" hidden="1">#REF!</definedName>
    <definedName name="MLNKc23bb7e037854afdbfb318463627a51f" hidden="1">#REF!</definedName>
    <definedName name="MLNKc28702ddf99a41bcb1a9fde89d97ec2a" localSheetId="10" hidden="1">#REF!</definedName>
    <definedName name="MLNKc28702ddf99a41bcb1a9fde89d97ec2a" localSheetId="8" hidden="1">#REF!</definedName>
    <definedName name="MLNKc28702ddf99a41bcb1a9fde89d97ec2a" localSheetId="11" hidden="1">#REF!</definedName>
    <definedName name="MLNKc28702ddf99a41bcb1a9fde89d97ec2a" hidden="1">#REF!</definedName>
    <definedName name="MLNKc3a76ad0a2ea45779efb1a55c38f04a5" localSheetId="10" hidden="1" xml:space="preserve"> '[31]UPR Fcst'!#REF!</definedName>
    <definedName name="MLNKc3a76ad0a2ea45779efb1a55c38f04a5" localSheetId="8" hidden="1" xml:space="preserve"> '[31]UPR Fcst'!#REF!</definedName>
    <definedName name="MLNKc3a76ad0a2ea45779efb1a55c38f04a5" localSheetId="11" hidden="1" xml:space="preserve"> '[31]UPR Fcst'!#REF!</definedName>
    <definedName name="MLNKc3a76ad0a2ea45779efb1a55c38f04a5" localSheetId="7" hidden="1" xml:space="preserve"> '[31]UPR Fcst'!#REF!</definedName>
    <definedName name="MLNKc3a76ad0a2ea45779efb1a55c38f04a5" hidden="1" xml:space="preserve"> '[31]UPR Fcst'!#REF!</definedName>
    <definedName name="MLNKc45014c3c67243099c9226300cc0468b" localSheetId="10" hidden="1">#REF!</definedName>
    <definedName name="MLNKc45014c3c67243099c9226300cc0468b" localSheetId="8" hidden="1">#REF!</definedName>
    <definedName name="MLNKc45014c3c67243099c9226300cc0468b" localSheetId="11" hidden="1">#REF!</definedName>
    <definedName name="MLNKc45014c3c67243099c9226300cc0468b" hidden="1">#REF!</definedName>
    <definedName name="MLNKc4b06ba3b51a4ec4b8c276ecb244e1e0" localSheetId="10" hidden="1">#REF!</definedName>
    <definedName name="MLNKc4b06ba3b51a4ec4b8c276ecb244e1e0" localSheetId="8" hidden="1">#REF!</definedName>
    <definedName name="MLNKc4b06ba3b51a4ec4b8c276ecb244e1e0" localSheetId="11" hidden="1">#REF!</definedName>
    <definedName name="MLNKc4b06ba3b51a4ec4b8c276ecb244e1e0" hidden="1">#REF!</definedName>
    <definedName name="MLNKc52dfa536e6247af8b2d4721387e97e3" localSheetId="8" hidden="1">#REF!</definedName>
    <definedName name="MLNKc52dfa536e6247af8b2d4721387e97e3" hidden="1">#REF!</definedName>
    <definedName name="MLNKc5c18166bf51464b911a664a66f2ea64" localSheetId="10" hidden="1">#REF!</definedName>
    <definedName name="MLNKc5c18166bf51464b911a664a66f2ea64" localSheetId="8" hidden="1">#REF!</definedName>
    <definedName name="MLNKc5c18166bf51464b911a664a66f2ea64" localSheetId="11" hidden="1">#REF!</definedName>
    <definedName name="MLNKc5c18166bf51464b911a664a66f2ea64" hidden="1">#REF!</definedName>
    <definedName name="MLNKc774833e88f14f5585a6d1ea20519e72" localSheetId="10" hidden="1">#REF!</definedName>
    <definedName name="MLNKc774833e88f14f5585a6d1ea20519e72" localSheetId="8" hidden="1">#REF!</definedName>
    <definedName name="MLNKc774833e88f14f5585a6d1ea20519e72" localSheetId="11" hidden="1">#REF!</definedName>
    <definedName name="MLNKc774833e88f14f5585a6d1ea20519e72" hidden="1">#REF!</definedName>
    <definedName name="MLNKc842a6653ba84f498592833351bba869" localSheetId="10" hidden="1">#REF!</definedName>
    <definedName name="MLNKc842a6653ba84f498592833351bba869" localSheetId="8" hidden="1">#REF!</definedName>
    <definedName name="MLNKc842a6653ba84f498592833351bba869" hidden="1">#REF!</definedName>
    <definedName name="MLNKc950751ff212401bb3399138aeb08071" localSheetId="10" hidden="1">#REF!</definedName>
    <definedName name="MLNKc950751ff212401bb3399138aeb08071" localSheetId="8" hidden="1">#REF!</definedName>
    <definedName name="MLNKc950751ff212401bb3399138aeb08071" localSheetId="11" hidden="1">#REF!</definedName>
    <definedName name="MLNKc950751ff212401bb3399138aeb08071" hidden="1">#REF!</definedName>
    <definedName name="MLNKc974773dd9474facb0097b8ba86c9c88" localSheetId="10" hidden="1">#REF!</definedName>
    <definedName name="MLNKc974773dd9474facb0097b8ba86c9c88" localSheetId="8" hidden="1">#REF!</definedName>
    <definedName name="MLNKc974773dd9474facb0097b8ba86c9c88" hidden="1">#REF!</definedName>
    <definedName name="MLNKc9e3c53ddd1846e4acc39ec87f03525e" localSheetId="10" hidden="1">#REF!</definedName>
    <definedName name="MLNKc9e3c53ddd1846e4acc39ec87f03525e" localSheetId="8" hidden="1">#REF!</definedName>
    <definedName name="MLNKc9e3c53ddd1846e4acc39ec87f03525e" hidden="1">#REF!</definedName>
    <definedName name="MLNKcb0c5612c95149aab0a0b4545a83d83a" localSheetId="8" hidden="1">#REF!</definedName>
    <definedName name="MLNKcb0c5612c95149aab0a0b4545a83d83a" hidden="1">#REF!</definedName>
    <definedName name="MLNKcb52cb82696449c4acaccd75559d9533" localSheetId="10" hidden="1">#REF!</definedName>
    <definedName name="MLNKcb52cb82696449c4acaccd75559d9533" localSheetId="8" hidden="1">#REF!</definedName>
    <definedName name="MLNKcb52cb82696449c4acaccd75559d9533" localSheetId="11" hidden="1">#REF!</definedName>
    <definedName name="MLNKcb52cb82696449c4acaccd75559d9533" hidden="1">#REF!</definedName>
    <definedName name="MLNKcca92169cf9044b283c9d1ae5a573598" localSheetId="10" hidden="1">#REF!</definedName>
    <definedName name="MLNKcca92169cf9044b283c9d1ae5a573598" localSheetId="8" hidden="1">#REF!</definedName>
    <definedName name="MLNKcca92169cf9044b283c9d1ae5a573598" localSheetId="11" hidden="1">#REF!</definedName>
    <definedName name="MLNKcca92169cf9044b283c9d1ae5a573598" hidden="1">#REF!</definedName>
    <definedName name="MLNKcd2f59e8aa124177bbf584ac68d410cd" localSheetId="10" hidden="1">#REF!</definedName>
    <definedName name="MLNKcd2f59e8aa124177bbf584ac68d410cd" localSheetId="8" hidden="1">#REF!</definedName>
    <definedName name="MLNKcd2f59e8aa124177bbf584ac68d410cd" hidden="1">#REF!</definedName>
    <definedName name="MLNKcd4c59a5e6914ade8985355fca18cdd8" localSheetId="10" hidden="1">#REF!</definedName>
    <definedName name="MLNKcd4c59a5e6914ade8985355fca18cdd8" localSheetId="8" hidden="1">#REF!</definedName>
    <definedName name="MLNKcd4c59a5e6914ade8985355fca18cdd8" hidden="1">#REF!</definedName>
    <definedName name="MLNKcdfd123717954f7282c5a06900bb6d10" localSheetId="10" hidden="1">#REF!</definedName>
    <definedName name="MLNKcdfd123717954f7282c5a06900bb6d10" localSheetId="8" hidden="1">#REF!</definedName>
    <definedName name="MLNKcdfd123717954f7282c5a06900bb6d10" localSheetId="11" hidden="1">#REF!</definedName>
    <definedName name="MLNKcdfd123717954f7282c5a06900bb6d10" hidden="1">#REF!</definedName>
    <definedName name="MLNKce1a9386d4ff469e851d118a2b4216b1" localSheetId="10" hidden="1">#REF!</definedName>
    <definedName name="MLNKce1a9386d4ff469e851d118a2b4216b1" localSheetId="8" hidden="1">#REF!</definedName>
    <definedName name="MLNKce1a9386d4ff469e851d118a2b4216b1" hidden="1">#REF!</definedName>
    <definedName name="MLNKcf2d5c047a684f0a8f8bfc0b5a1d2295" localSheetId="10" hidden="1">#REF!</definedName>
    <definedName name="MLNKcf2d5c047a684f0a8f8bfc0b5a1d2295" localSheetId="8" hidden="1">#REF!</definedName>
    <definedName name="MLNKcf2d5c047a684f0a8f8bfc0b5a1d2295" localSheetId="11" hidden="1">#REF!</definedName>
    <definedName name="MLNKcf2d5c047a684f0a8f8bfc0b5a1d2295" hidden="1">#REF!</definedName>
    <definedName name="MLNKd04f1a930c2a4d0f8e650f7c49428bed" localSheetId="10" hidden="1">#REF!</definedName>
    <definedName name="MLNKd04f1a930c2a4d0f8e650f7c49428bed" localSheetId="8" hidden="1">#REF!</definedName>
    <definedName name="MLNKd04f1a930c2a4d0f8e650f7c49428bed" localSheetId="11" hidden="1">#REF!</definedName>
    <definedName name="MLNKd04f1a930c2a4d0f8e650f7c49428bed" hidden="1">#REF!</definedName>
    <definedName name="MLNKd0dd92e1cef94a4dac9bd06422abbfb0" localSheetId="10" hidden="1">#REF!</definedName>
    <definedName name="MLNKd0dd92e1cef94a4dac9bd06422abbfb0" localSheetId="8" hidden="1">#REF!</definedName>
    <definedName name="MLNKd0dd92e1cef94a4dac9bd06422abbfb0" hidden="1">#REF!</definedName>
    <definedName name="MLNKd30362751fd14500956ac77cd5b6c928" localSheetId="10" hidden="1">#REF!</definedName>
    <definedName name="MLNKd30362751fd14500956ac77cd5b6c928" localSheetId="8" hidden="1">#REF!</definedName>
    <definedName name="MLNKd30362751fd14500956ac77cd5b6c928" localSheetId="11" hidden="1">#REF!</definedName>
    <definedName name="MLNKd30362751fd14500956ac77cd5b6c928" hidden="1">#REF!</definedName>
    <definedName name="MLNKd33b38b9404a489393116a4e3f21e4ba" localSheetId="10" hidden="1">#REF!</definedName>
    <definedName name="MLNKd33b38b9404a489393116a4e3f21e4ba" localSheetId="8" hidden="1">#REF!</definedName>
    <definedName name="MLNKd33b38b9404a489393116a4e3f21e4ba" hidden="1">#REF!</definedName>
    <definedName name="MLNKd3523672e9e64b65a5b09c20b1f0f2c5" localSheetId="10" hidden="1">#REF!</definedName>
    <definedName name="MLNKd3523672e9e64b65a5b09c20b1f0f2c5" localSheetId="8" hidden="1">#REF!</definedName>
    <definedName name="MLNKd3523672e9e64b65a5b09c20b1f0f2c5" hidden="1">#REF!</definedName>
    <definedName name="MLNKd3b085692077475c881219fffa7851a4" localSheetId="10" hidden="1">#REF!</definedName>
    <definedName name="MLNKd3b085692077475c881219fffa7851a4" localSheetId="8" hidden="1">#REF!</definedName>
    <definedName name="MLNKd3b085692077475c881219fffa7851a4" localSheetId="11" hidden="1">#REF!</definedName>
    <definedName name="MLNKd3b085692077475c881219fffa7851a4" hidden="1">#REF!</definedName>
    <definedName name="MLNKd457f50f3db7487aaaf4cbbe1b7b85f0" localSheetId="10" hidden="1">#REF!</definedName>
    <definedName name="MLNKd457f50f3db7487aaaf4cbbe1b7b85f0" localSheetId="8" hidden="1">#REF!</definedName>
    <definedName name="MLNKd457f50f3db7487aaaf4cbbe1b7b85f0" hidden="1">#REF!</definedName>
    <definedName name="MLNKd500c6f93fc04a9ab91d89f1d26a5bda" localSheetId="10" hidden="1">#REF!</definedName>
    <definedName name="MLNKd500c6f93fc04a9ab91d89f1d26a5bda" localSheetId="8" hidden="1">#REF!</definedName>
    <definedName name="MLNKd500c6f93fc04a9ab91d89f1d26a5bda" hidden="1">#REF!</definedName>
    <definedName name="MLNKd572d1969c5e45a5a651c723b07711e1" localSheetId="10" hidden="1">#REF!</definedName>
    <definedName name="MLNKd572d1969c5e45a5a651c723b07711e1" localSheetId="8" hidden="1">#REF!</definedName>
    <definedName name="MLNKd572d1969c5e45a5a651c723b07711e1" localSheetId="11" hidden="1">#REF!</definedName>
    <definedName name="MLNKd572d1969c5e45a5a651c723b07711e1" hidden="1">#REF!</definedName>
    <definedName name="MLNKd5a9a247d8d94a6abe2159ecd153eb1e" localSheetId="10" hidden="1">#REF!</definedName>
    <definedName name="MLNKd5a9a247d8d94a6abe2159ecd153eb1e" localSheetId="8" hidden="1">#REF!</definedName>
    <definedName name="MLNKd5a9a247d8d94a6abe2159ecd153eb1e" hidden="1">#REF!</definedName>
    <definedName name="MLNKd60f92bab68c4087bb693e7adfc318ae" localSheetId="10" hidden="1">#REF!</definedName>
    <definedName name="MLNKd60f92bab68c4087bb693e7adfc318ae" localSheetId="8" hidden="1">#REF!</definedName>
    <definedName name="MLNKd60f92bab68c4087bb693e7adfc318ae" hidden="1">#REF!</definedName>
    <definedName name="MLNKd6345eea8edd438a86063a19e38525c2" localSheetId="8" hidden="1">#REF!</definedName>
    <definedName name="MLNKd6345eea8edd438a86063a19e38525c2" hidden="1">#REF!</definedName>
    <definedName name="MLNKd6757d4fd35f4b5f9c157e11b9be9592" localSheetId="8" hidden="1">#REF!</definedName>
    <definedName name="MLNKd6757d4fd35f4b5f9c157e11b9be9592" hidden="1">#REF!</definedName>
    <definedName name="MLNKd7638984428141099e5ebdc5433ad1cb" localSheetId="10" hidden="1">#REF!</definedName>
    <definedName name="MLNKd7638984428141099e5ebdc5433ad1cb" localSheetId="8" hidden="1">#REF!</definedName>
    <definedName name="MLNKd7638984428141099e5ebdc5433ad1cb" localSheetId="11" hidden="1">#REF!</definedName>
    <definedName name="MLNKd7638984428141099e5ebdc5433ad1cb" hidden="1">#REF!</definedName>
    <definedName name="MLNKd7dd50d502ff4917b8cef972de06f4b7" localSheetId="10" hidden="1">#REF!</definedName>
    <definedName name="MLNKd7dd50d502ff4917b8cef972de06f4b7" localSheetId="8" hidden="1">#REF!</definedName>
    <definedName name="MLNKd7dd50d502ff4917b8cef972de06f4b7" hidden="1">#REF!</definedName>
    <definedName name="MLNKd9209ddc786e4182a7f4d866f6bfae70" localSheetId="10" hidden="1">#REF!</definedName>
    <definedName name="MLNKd9209ddc786e4182a7f4d866f6bfae70" localSheetId="8" hidden="1">#REF!</definedName>
    <definedName name="MLNKd9209ddc786e4182a7f4d866f6bfae70" localSheetId="11" hidden="1">#REF!</definedName>
    <definedName name="MLNKd9209ddc786e4182a7f4d866f6bfae70" hidden="1">#REF!</definedName>
    <definedName name="MLNKd94fb142363a4045967b7d07a80abf6e" localSheetId="10" hidden="1">#REF!</definedName>
    <definedName name="MLNKd94fb142363a4045967b7d07a80abf6e" localSheetId="8" hidden="1">#REF!</definedName>
    <definedName name="MLNKd94fb142363a4045967b7d07a80abf6e" hidden="1">#REF!</definedName>
    <definedName name="MLNKd96dc4db62c14ffda9b013a931c13d82" hidden="1" xml:space="preserve">    [32]All_Measures!$1:$1048576</definedName>
    <definedName name="MLNKda2d915548204ed49edbbfc1645eb5ba" localSheetId="10" hidden="1">#REF!</definedName>
    <definedName name="MLNKda2d915548204ed49edbbfc1645eb5ba" localSheetId="3" hidden="1">#REF!</definedName>
    <definedName name="MLNKda2d915548204ed49edbbfc1645eb5ba" localSheetId="8" hidden="1">#REF!</definedName>
    <definedName name="MLNKda2d915548204ed49edbbfc1645eb5ba" localSheetId="11" hidden="1">#REF!</definedName>
    <definedName name="MLNKda2d915548204ed49edbbfc1645eb5ba" hidden="1">#REF!</definedName>
    <definedName name="MLNKda58f8a2145646239179163c0299793b" localSheetId="8" hidden="1">#REF!</definedName>
    <definedName name="MLNKda58f8a2145646239179163c0299793b" hidden="1">#REF!</definedName>
    <definedName name="MLNKda62fae5d3634009bb36d3b099154e68" localSheetId="8" hidden="1">#REF!</definedName>
    <definedName name="MLNKda62fae5d3634009bb36d3b099154e68" hidden="1">#REF!</definedName>
    <definedName name="MLNKda715c062c524ca593a6e79787c07cda" localSheetId="8" hidden="1">#REF!</definedName>
    <definedName name="MLNKda715c062c524ca593a6e79787c07cda" hidden="1">#REF!</definedName>
    <definedName name="MLNKda9714ded189452b8d36646278847408" localSheetId="8" hidden="1">#REF!</definedName>
    <definedName name="MLNKda9714ded189452b8d36646278847408" hidden="1">#REF!</definedName>
    <definedName name="MLNKda9ae8c008cd46b0a30a432bd98e2a92" localSheetId="8" hidden="1">#REF!</definedName>
    <definedName name="MLNKda9ae8c008cd46b0a30a432bd98e2a92" hidden="1">#REF!</definedName>
    <definedName name="MLNKdab0c3fc4fa44f029e9455459c5863cc" localSheetId="10" hidden="1">#REF!</definedName>
    <definedName name="MLNKdab0c3fc4fa44f029e9455459c5863cc" localSheetId="3" hidden="1">#REF!</definedName>
    <definedName name="MLNKdab0c3fc4fa44f029e9455459c5863cc" localSheetId="8" hidden="1">#REF!</definedName>
    <definedName name="MLNKdab0c3fc4fa44f029e9455459c5863cc" localSheetId="11" hidden="1">#REF!</definedName>
    <definedName name="MLNKdab0c3fc4fa44f029e9455459c5863cc" hidden="1">#REF!</definedName>
    <definedName name="MLNKdac0a3da1f474bb49bbfe2e104e1a456" localSheetId="10" hidden="1">#REF!</definedName>
    <definedName name="MLNKdac0a3da1f474bb49bbfe2e104e1a456" localSheetId="8" hidden="1">#REF!</definedName>
    <definedName name="MLNKdac0a3da1f474bb49bbfe2e104e1a456" hidden="1">#REF!</definedName>
    <definedName name="MLNKdb0b61caa08b42499f7a520d9d9512d5" localSheetId="10" hidden="1">#REF!</definedName>
    <definedName name="MLNKdb0b61caa08b42499f7a520d9d9512d5" localSheetId="8" hidden="1">#REF!</definedName>
    <definedName name="MLNKdb0b61caa08b42499f7a520d9d9512d5" hidden="1">#REF!</definedName>
    <definedName name="MLNKdbffc65f47524dd8a6970ab5516c54b8" localSheetId="8" hidden="1">#REF!</definedName>
    <definedName name="MLNKdbffc65f47524dd8a6970ab5516c54b8" hidden="1">#REF!</definedName>
    <definedName name="MLNKdc3bd7f720274d3985a7ad930d0aec81" localSheetId="8" hidden="1">#REF!</definedName>
    <definedName name="MLNKdc3bd7f720274d3985a7ad930d0aec81" hidden="1">#REF!</definedName>
    <definedName name="MLNKdc540b1653014c88a67ce3e63b233581" localSheetId="10" hidden="1" xml:space="preserve"> [29]EX_13WCF!#REF!</definedName>
    <definedName name="MLNKdc540b1653014c88a67ce3e63b233581" localSheetId="8" hidden="1" xml:space="preserve"> [29]EX_13WCF!#REF!</definedName>
    <definedName name="MLNKdc540b1653014c88a67ce3e63b233581" localSheetId="11" hidden="1" xml:space="preserve"> [29]EX_13WCF!#REF!</definedName>
    <definedName name="MLNKdc540b1653014c88a67ce3e63b233581" localSheetId="7" hidden="1" xml:space="preserve"> [29]EX_13WCF!#REF!</definedName>
    <definedName name="MLNKdc540b1653014c88a67ce3e63b233581" hidden="1" xml:space="preserve"> [29]EX_13WCF!#REF!</definedName>
    <definedName name="MLNKdd784700188c43aaac0e4bd2d6d21af3" localSheetId="10" hidden="1">#REF!</definedName>
    <definedName name="MLNKdd784700188c43aaac0e4bd2d6d21af3" localSheetId="3" hidden="1">#REF!</definedName>
    <definedName name="MLNKdd784700188c43aaac0e4bd2d6d21af3" localSheetId="8" hidden="1">#REF!</definedName>
    <definedName name="MLNKdd784700188c43aaac0e4bd2d6d21af3" localSheetId="11" hidden="1">#REF!</definedName>
    <definedName name="MLNKdd784700188c43aaac0e4bd2d6d21af3" hidden="1">#REF!</definedName>
    <definedName name="MLNKde028b07903e49a1b07f84b69b0242c3" localSheetId="8" hidden="1">#REF!</definedName>
    <definedName name="MLNKde028b07903e49a1b07f84b69b0242c3" hidden="1">#REF!</definedName>
    <definedName name="MLNKdf04489994304a3f97d281f9fa73f034" localSheetId="10" hidden="1">#REF!</definedName>
    <definedName name="MLNKdf04489994304a3f97d281f9fa73f034" localSheetId="8" hidden="1">#REF!</definedName>
    <definedName name="MLNKdf04489994304a3f97d281f9fa73f034" localSheetId="11" hidden="1">#REF!</definedName>
    <definedName name="MLNKdf04489994304a3f97d281f9fa73f034" hidden="1">#REF!</definedName>
    <definedName name="MLNKdf5caf4e0e6a4d17831719e6acee4572" localSheetId="10" hidden="1">#REF!</definedName>
    <definedName name="MLNKdf5caf4e0e6a4d17831719e6acee4572" localSheetId="8" hidden="1">#REF!</definedName>
    <definedName name="MLNKdf5caf4e0e6a4d17831719e6acee4572" hidden="1">#REF!</definedName>
    <definedName name="MLNKdf7b39d34667409c95462c25978584ad" localSheetId="8" hidden="1">#REF!</definedName>
    <definedName name="MLNKdf7b39d34667409c95462c25978584ad" hidden="1">#REF!</definedName>
    <definedName name="MLNKe0a3e82ecea64e02b4d71c2ec52b4a5f" localSheetId="8" hidden="1">#REF!</definedName>
    <definedName name="MLNKe0a3e82ecea64e02b4d71c2ec52b4a5f" hidden="1">#REF!</definedName>
    <definedName name="MLNKe101f801665548a08e039d3183cc252f" localSheetId="8" hidden="1">#REF!</definedName>
    <definedName name="MLNKe101f801665548a08e039d3183cc252f" hidden="1">#REF!</definedName>
    <definedName name="MLNKe15d8bfb7c78473ba833a0b8fb531e7a" localSheetId="8" hidden="1">#REF!</definedName>
    <definedName name="MLNKe15d8bfb7c78473ba833a0b8fb531e7a" hidden="1">#REF!</definedName>
    <definedName name="MLNKe20944887eb84e1ba227fdb7c8b68ec5" localSheetId="10" hidden="1">#REF!</definedName>
    <definedName name="MLNKe20944887eb84e1ba227fdb7c8b68ec5" localSheetId="8" hidden="1">#REF!</definedName>
    <definedName name="MLNKe20944887eb84e1ba227fdb7c8b68ec5" localSheetId="11" hidden="1">#REF!</definedName>
    <definedName name="MLNKe20944887eb84e1ba227fdb7c8b68ec5" hidden="1">#REF!</definedName>
    <definedName name="MLNKe367e4256edd4c78ac89b8b89adf6305" localSheetId="10" hidden="1">#REF!</definedName>
    <definedName name="MLNKe367e4256edd4c78ac89b8b89adf6305" localSheetId="8" hidden="1">#REF!</definedName>
    <definedName name="MLNKe367e4256edd4c78ac89b8b89adf6305" localSheetId="11" hidden="1">#REF!</definedName>
    <definedName name="MLNKe367e4256edd4c78ac89b8b89adf6305" hidden="1">#REF!</definedName>
    <definedName name="MLNKe3801a78f88f4bb0af36985252ace683" localSheetId="10" hidden="1">#REF!</definedName>
    <definedName name="MLNKe3801a78f88f4bb0af36985252ace683" localSheetId="8" hidden="1">#REF!</definedName>
    <definedName name="MLNKe3801a78f88f4bb0af36985252ace683" hidden="1">#REF!</definedName>
    <definedName name="MLNKe38279966f754476be6f361af519f88f" localSheetId="10" hidden="1">#REF!</definedName>
    <definedName name="MLNKe38279966f754476be6f361af519f88f" localSheetId="8" hidden="1">#REF!</definedName>
    <definedName name="MLNKe38279966f754476be6f361af519f88f" hidden="1">#REF!</definedName>
    <definedName name="MLNKe38b0304c6e14fcdbd573ee8ff096b71" localSheetId="8" hidden="1">#REF!</definedName>
    <definedName name="MLNKe38b0304c6e14fcdbd573ee8ff096b71" hidden="1">#REF!</definedName>
    <definedName name="MLNKe3de2b25ed2a4fcdb532085f4626be8b" localSheetId="8" hidden="1">#REF!</definedName>
    <definedName name="MLNKe3de2b25ed2a4fcdb532085f4626be8b" hidden="1">#REF!</definedName>
    <definedName name="MLNKe4957daaf9eb4a1ea6e0ae5b9284ba9a" localSheetId="8" hidden="1">#REF!</definedName>
    <definedName name="MLNKe4957daaf9eb4a1ea6e0ae5b9284ba9a" hidden="1">#REF!</definedName>
    <definedName name="MLNKe49bbe102cbe481c83b982dc5eb99c75" localSheetId="8" hidden="1">#REF!</definedName>
    <definedName name="MLNKe49bbe102cbe481c83b982dc5eb99c75" hidden="1">#REF!</definedName>
    <definedName name="MLNKe4c078a0196a49de8d50e8ae6bdcc558" localSheetId="8" hidden="1">#REF!</definedName>
    <definedName name="MLNKe4c078a0196a49de8d50e8ae6bdcc558" hidden="1">#REF!</definedName>
    <definedName name="MLNKe4df9b0ee93f49bfa3cebb2385be6721" localSheetId="10" hidden="1">#REF!</definedName>
    <definedName name="MLNKe4df9b0ee93f49bfa3cebb2385be6721" localSheetId="8" hidden="1">#REF!</definedName>
    <definedName name="MLNKe4df9b0ee93f49bfa3cebb2385be6721" localSheetId="11" hidden="1">#REF!</definedName>
    <definedName name="MLNKe4df9b0ee93f49bfa3cebb2385be6721" hidden="1">#REF!</definedName>
    <definedName name="MLNKe5b4a1fc432d4c12b49fd9d7aff55457" localSheetId="10" hidden="1">#REF!</definedName>
    <definedName name="MLNKe5b4a1fc432d4c12b49fd9d7aff55457" localSheetId="8" hidden="1">#REF!</definedName>
    <definedName name="MLNKe5b4a1fc432d4c12b49fd9d7aff55457" localSheetId="11" hidden="1">#REF!</definedName>
    <definedName name="MLNKe5b4a1fc432d4c12b49fd9d7aff55457" hidden="1">#REF!</definedName>
    <definedName name="MLNKe681e8ce59ea4ec4a572ebe2141df7d0" localSheetId="10" hidden="1">#REF!</definedName>
    <definedName name="MLNKe681e8ce59ea4ec4a572ebe2141df7d0" localSheetId="8" hidden="1">#REF!</definedName>
    <definedName name="MLNKe681e8ce59ea4ec4a572ebe2141df7d0" hidden="1">#REF!</definedName>
    <definedName name="MLNKe68bc2eae14144b7a1fc43fe2ebfaa65" localSheetId="10" hidden="1">#REF!</definedName>
    <definedName name="MLNKe68bc2eae14144b7a1fc43fe2ebfaa65" localSheetId="8" hidden="1">#REF!</definedName>
    <definedName name="MLNKe68bc2eae14144b7a1fc43fe2ebfaa65" hidden="1">#REF!</definedName>
    <definedName name="MLNKe6e54db7691a4821a439522821796f8e" localSheetId="8" hidden="1">#REF!</definedName>
    <definedName name="MLNKe6e54db7691a4821a439522821796f8e" hidden="1">#REF!</definedName>
    <definedName name="MLNKe768a3fd5af143beaff39adac7b4fb2e" localSheetId="10" hidden="1">#REF!</definedName>
    <definedName name="MLNKe768a3fd5af143beaff39adac7b4fb2e" localSheetId="8" hidden="1">#REF!</definedName>
    <definedName name="MLNKe768a3fd5af143beaff39adac7b4fb2e" localSheetId="11" hidden="1">#REF!</definedName>
    <definedName name="MLNKe768a3fd5af143beaff39adac7b4fb2e" hidden="1">#REF!</definedName>
    <definedName name="MLNKe7823e83a54944c8a76e160e6a946ff6" localSheetId="10" hidden="1">#REF!</definedName>
    <definedName name="MLNKe7823e83a54944c8a76e160e6a946ff6" localSheetId="8" hidden="1">#REF!</definedName>
    <definedName name="MLNKe7823e83a54944c8a76e160e6a946ff6" localSheetId="11" hidden="1">#REF!</definedName>
    <definedName name="MLNKe7823e83a54944c8a76e160e6a946ff6" hidden="1">#REF!</definedName>
    <definedName name="MLNKe8312b1ac7544f699a6e51353d45ca4d" localSheetId="10" hidden="1">#REF!</definedName>
    <definedName name="MLNKe8312b1ac7544f699a6e51353d45ca4d" localSheetId="8" hidden="1">#REF!</definedName>
    <definedName name="MLNKe8312b1ac7544f699a6e51353d45ca4d" hidden="1">#REF!</definedName>
    <definedName name="MLNKe96f548d2c5442b8b620df06fb00ea72" localSheetId="10" hidden="1">#REF!</definedName>
    <definedName name="MLNKe96f548d2c5442b8b620df06fb00ea72" localSheetId="8" hidden="1">#REF!</definedName>
    <definedName name="MLNKe96f548d2c5442b8b620df06fb00ea72" localSheetId="11" hidden="1">#REF!</definedName>
    <definedName name="MLNKe96f548d2c5442b8b620df06fb00ea72" hidden="1">#REF!</definedName>
    <definedName name="MLNKea0bd8df58fa47aa8a8cffb2990cbed8" localSheetId="10" hidden="1">#REF!</definedName>
    <definedName name="MLNKea0bd8df58fa47aa8a8cffb2990cbed8" localSheetId="8" hidden="1">#REF!</definedName>
    <definedName name="MLNKea0bd8df58fa47aa8a8cffb2990cbed8" hidden="1">#REF!</definedName>
    <definedName name="MLNKeb1d5e4a4a414d659e3b9fd0d27cd1f0" localSheetId="10" hidden="1">#REF!</definedName>
    <definedName name="MLNKeb1d5e4a4a414d659e3b9fd0d27cd1f0" localSheetId="8" hidden="1">#REF!</definedName>
    <definedName name="MLNKeb1d5e4a4a414d659e3b9fd0d27cd1f0" localSheetId="11" hidden="1">#REF!</definedName>
    <definedName name="MLNKeb1d5e4a4a414d659e3b9fd0d27cd1f0" hidden="1">#REF!</definedName>
    <definedName name="MLNKeb2c235dfd4d445d813aaee85b1c01ea" localSheetId="10" hidden="1">#REF!</definedName>
    <definedName name="MLNKeb2c235dfd4d445d813aaee85b1c01ea" localSheetId="8" hidden="1">#REF!</definedName>
    <definedName name="MLNKeb2c235dfd4d445d813aaee85b1c01ea" hidden="1">#REF!</definedName>
    <definedName name="MLNKebd76e8c5e1047d99182ae05fa70403c" localSheetId="10" hidden="1">#REF!</definedName>
    <definedName name="MLNKebd76e8c5e1047d99182ae05fa70403c" localSheetId="8" hidden="1">#REF!</definedName>
    <definedName name="MLNKebd76e8c5e1047d99182ae05fa70403c" localSheetId="11" hidden="1">#REF!</definedName>
    <definedName name="MLNKebd76e8c5e1047d99182ae05fa70403c" hidden="1">#REF!</definedName>
    <definedName name="MLNKec5ae76f6d63450a92cbb4402d7e67aa" localSheetId="10" hidden="1">#REF!</definedName>
    <definedName name="MLNKec5ae76f6d63450a92cbb4402d7e67aa" localSheetId="8" hidden="1">#REF!</definedName>
    <definedName name="MLNKec5ae76f6d63450a92cbb4402d7e67aa" hidden="1">#REF!</definedName>
    <definedName name="MLNKec780d6aadd844acab6521c80f8d46dc" localSheetId="10" hidden="1">#REF!</definedName>
    <definedName name="MLNKec780d6aadd844acab6521c80f8d46dc" localSheetId="8" hidden="1">#REF!</definedName>
    <definedName name="MLNKec780d6aadd844acab6521c80f8d46dc" hidden="1">#REF!</definedName>
    <definedName name="MLNKed4c712987ed4a26914aacabb3cb5a07" localSheetId="10" hidden="1">#REF!</definedName>
    <definedName name="MLNKed4c712987ed4a26914aacabb3cb5a07" localSheetId="8" hidden="1">#REF!</definedName>
    <definedName name="MLNKed4c712987ed4a26914aacabb3cb5a07" localSheetId="11" hidden="1">#REF!</definedName>
    <definedName name="MLNKed4c712987ed4a26914aacabb3cb5a07" hidden="1">#REF!</definedName>
    <definedName name="MLNKeddc187a60694639a530d9f81932b352" localSheetId="10" hidden="1">#REF!</definedName>
    <definedName name="MLNKeddc187a60694639a530d9f81932b352" localSheetId="8" hidden="1">#REF!</definedName>
    <definedName name="MLNKeddc187a60694639a530d9f81932b352" hidden="1">#REF!</definedName>
    <definedName name="MLNKee18904b977444c4a81c4150ab7003f3" localSheetId="10" hidden="1">#REF!</definedName>
    <definedName name="MLNKee18904b977444c4a81c4150ab7003f3" localSheetId="8" hidden="1">#REF!</definedName>
    <definedName name="MLNKee18904b977444c4a81c4150ab7003f3" hidden="1">#REF!</definedName>
    <definedName name="MLNKee67bd5619e1462d88447b08abd8c0ef" localSheetId="10" hidden="1">#REF!</definedName>
    <definedName name="MLNKee67bd5619e1462d88447b08abd8c0ef" localSheetId="8" hidden="1">#REF!</definedName>
    <definedName name="MLNKee67bd5619e1462d88447b08abd8c0ef" localSheetId="11" hidden="1">#REF!</definedName>
    <definedName name="MLNKee67bd5619e1462d88447b08abd8c0ef" hidden="1">#REF!</definedName>
    <definedName name="MLNKeeb339a109374f9d80115674cfecbde9" localSheetId="10" hidden="1">#REF!</definedName>
    <definedName name="MLNKeeb339a109374f9d80115674cfecbde9" localSheetId="8" hidden="1">#REF!</definedName>
    <definedName name="MLNKeeb339a109374f9d80115674cfecbde9" hidden="1">#REF!</definedName>
    <definedName name="MLNKef55fa396e3d42d4b6a5646d3529262b" localSheetId="10" hidden="1">#REF!</definedName>
    <definedName name="MLNKef55fa396e3d42d4b6a5646d3529262b" localSheetId="8" hidden="1">#REF!</definedName>
    <definedName name="MLNKef55fa396e3d42d4b6a5646d3529262b" hidden="1">#REF!</definedName>
    <definedName name="MLNKef8a5f8c83064d99b57e8eb88e47942c" localSheetId="8" hidden="1">#REF!</definedName>
    <definedName name="MLNKef8a5f8c83064d99b57e8eb88e47942c" hidden="1">#REF!</definedName>
    <definedName name="MLNKf05c855193ca4186968bd3b28a68a3f9" localSheetId="8" hidden="1">#REF!</definedName>
    <definedName name="MLNKf05c855193ca4186968bd3b28a68a3f9" hidden="1">#REF!</definedName>
    <definedName name="MLNKf09745d38e954715b3719bd40068ebcd" localSheetId="10" hidden="1">'[31]Proprietary Fcst'!#REF!</definedName>
    <definedName name="MLNKf09745d38e954715b3719bd40068ebcd" localSheetId="8" hidden="1">'[31]Proprietary Fcst'!#REF!</definedName>
    <definedName name="MLNKf09745d38e954715b3719bd40068ebcd" localSheetId="11" hidden="1">'[31]Proprietary Fcst'!#REF!</definedName>
    <definedName name="MLNKf09745d38e954715b3719bd40068ebcd" localSheetId="7" hidden="1">'[31]Proprietary Fcst'!#REF!</definedName>
    <definedName name="MLNKf09745d38e954715b3719bd40068ebcd" hidden="1">'[31]Proprietary Fcst'!#REF!</definedName>
    <definedName name="MLNKf25d690c0c9040969651078a0fd34468" localSheetId="10" hidden="1">#REF!</definedName>
    <definedName name="MLNKf25d690c0c9040969651078a0fd34468" localSheetId="8" hidden="1">#REF!</definedName>
    <definedName name="MLNKf25d690c0c9040969651078a0fd34468" localSheetId="11" hidden="1">#REF!</definedName>
    <definedName name="MLNKf25d690c0c9040969651078a0fd34468" hidden="1">#REF!</definedName>
    <definedName name="MLNKf3d83f5b96e941b0932a1f43f6d6991a" localSheetId="10" hidden="1">#REF!</definedName>
    <definedName name="MLNKf3d83f5b96e941b0932a1f43f6d6991a" localSheetId="8" hidden="1">#REF!</definedName>
    <definedName name="MLNKf3d83f5b96e941b0932a1f43f6d6991a" localSheetId="11" hidden="1">#REF!</definedName>
    <definedName name="MLNKf3d83f5b96e941b0932a1f43f6d6991a" hidden="1">#REF!</definedName>
    <definedName name="MLNKf5156a0cee3344af9231fa8b11e9484f" localSheetId="10" hidden="1">#REF!</definedName>
    <definedName name="MLNKf5156a0cee3344af9231fa8b11e9484f" localSheetId="8" hidden="1">#REF!</definedName>
    <definedName name="MLNKf5156a0cee3344af9231fa8b11e9484f" localSheetId="11" hidden="1">#REF!</definedName>
    <definedName name="MLNKf5156a0cee3344af9231fa8b11e9484f" hidden="1">#REF!</definedName>
    <definedName name="MLNKf5ac4fb13bcd468c9dba17c408fb6571" localSheetId="10" hidden="1">#REF!</definedName>
    <definedName name="MLNKf5ac4fb13bcd468c9dba17c408fb6571" localSheetId="8" hidden="1">#REF!</definedName>
    <definedName name="MLNKf5ac4fb13bcd468c9dba17c408fb6571" hidden="1">#REF!</definedName>
    <definedName name="MLNKf5c641a89179411482ca8ffb35fdbcd0" localSheetId="8" hidden="1">#REF!</definedName>
    <definedName name="MLNKf5c641a89179411482ca8ffb35fdbcd0" hidden="1">#REF!</definedName>
    <definedName name="MLNKf60a89fa14a944ffa81a4b2b2c5a6a65" localSheetId="8" hidden="1">#REF!</definedName>
    <definedName name="MLNKf60a89fa14a944ffa81a4b2b2c5a6a65" hidden="1">#REF!</definedName>
    <definedName name="MLNKf69d90895223406595354e1a016a0b55" localSheetId="8" hidden="1">#REF!</definedName>
    <definedName name="MLNKf69d90895223406595354e1a016a0b55" hidden="1">#REF!</definedName>
    <definedName name="MLNKf6ff47807254415683e2e72ea28f73a6" localSheetId="8" hidden="1">#REF!</definedName>
    <definedName name="MLNKf6ff47807254415683e2e72ea28f73a6" hidden="1">#REF!</definedName>
    <definedName name="MLNKf7b01b58e55d4d98b18ea36659e07768" localSheetId="8" hidden="1">#REF!</definedName>
    <definedName name="MLNKf7b01b58e55d4d98b18ea36659e07768" hidden="1">#REF!</definedName>
    <definedName name="MLNKf7c6dc0b1f7b4cd79e8e5ea6ab59a1e8" localSheetId="8" hidden="1">#REF!</definedName>
    <definedName name="MLNKf7c6dc0b1f7b4cd79e8e5ea6ab59a1e8" hidden="1">#REF!</definedName>
    <definedName name="MLNKf7dc7c8e02d0429f82eea42d7c131cac" localSheetId="8" hidden="1">#REF!</definedName>
    <definedName name="MLNKf7dc7c8e02d0429f82eea42d7c131cac" hidden="1">#REF!</definedName>
    <definedName name="MLNKfa0e88ca68f94eb68067d515b17f6739" localSheetId="10" hidden="1">#REF!</definedName>
    <definedName name="MLNKfa0e88ca68f94eb68067d515b17f6739" localSheetId="8" hidden="1">#REF!</definedName>
    <definedName name="MLNKfa0e88ca68f94eb68067d515b17f6739" localSheetId="11" hidden="1">#REF!</definedName>
    <definedName name="MLNKfa0e88ca68f94eb68067d515b17f6739" hidden="1">#REF!</definedName>
    <definedName name="MLNKfa791a191b41434c8e46cb15e1c7aa7c" localSheetId="10" hidden="1">#REF!</definedName>
    <definedName name="MLNKfa791a191b41434c8e46cb15e1c7aa7c" localSheetId="8" hidden="1">#REF!</definedName>
    <definedName name="MLNKfa791a191b41434c8e46cb15e1c7aa7c" hidden="1">#REF!</definedName>
    <definedName name="MLNKfaee2e53933a492e98ec8109d03578fe" localSheetId="10" hidden="1">#REF!</definedName>
    <definedName name="MLNKfaee2e53933a492e98ec8109d03578fe" localSheetId="8" hidden="1">#REF!</definedName>
    <definedName name="MLNKfaee2e53933a492e98ec8109d03578fe" localSheetId="11" hidden="1">#REF!</definedName>
    <definedName name="MLNKfaee2e53933a492e98ec8109d03578fe" hidden="1">#REF!</definedName>
    <definedName name="MLNKfbd20e26625a4a6d95d1d5f87a5c06be" localSheetId="10" hidden="1">#REF!</definedName>
    <definedName name="MLNKfbd20e26625a4a6d95d1d5f87a5c06be" localSheetId="8" hidden="1">#REF!</definedName>
    <definedName name="MLNKfbd20e26625a4a6d95d1d5f87a5c06be" hidden="1">#REF!</definedName>
    <definedName name="MLNKfc1eb932feeb44998c31bb3c1c820e41" localSheetId="10" hidden="1">#REF!</definedName>
    <definedName name="MLNKfc1eb932feeb44998c31bb3c1c820e41" localSheetId="8" hidden="1">#REF!</definedName>
    <definedName name="MLNKfc1eb932feeb44998c31bb3c1c820e41" hidden="1">#REF!</definedName>
    <definedName name="MLNKfc3d4045ac6546bbb96fb436de2a6736" localSheetId="8" hidden="1">#REF!</definedName>
    <definedName name="MLNKfc3d4045ac6546bbb96fb436de2a6736" hidden="1">#REF!</definedName>
    <definedName name="MLNKfc73d232647645828ea4844e98b41c9f" localSheetId="8" hidden="1">#REF!</definedName>
    <definedName name="MLNKfc73d232647645828ea4844e98b41c9f" hidden="1">#REF!</definedName>
    <definedName name="MLNKfc85833d86264a5abe1e9d21c923318a" localSheetId="8" hidden="1">#REF!</definedName>
    <definedName name="MLNKfc85833d86264a5abe1e9d21c923318a" hidden="1">#REF!</definedName>
    <definedName name="MLNKfce6e9edb9824a87af81b209f9c5283c" localSheetId="8" hidden="1">#REF!</definedName>
    <definedName name="MLNKfce6e9edb9824a87af81b209f9c5283c" hidden="1">#REF!</definedName>
    <definedName name="MLNKfe57550892dd4400bc1fa56bb0c2bdde" localSheetId="8" hidden="1">#REF!</definedName>
    <definedName name="MLNKfe57550892dd4400bc1fa56bb0c2bdde" hidden="1">#REF!</definedName>
    <definedName name="MLNKffcae4d64e6644c190307811b03f3c98" localSheetId="10" hidden="1">#REF!</definedName>
    <definedName name="MLNKffcae4d64e6644c190307811b03f3c98" localSheetId="8" hidden="1">#REF!</definedName>
    <definedName name="MLNKffcae4d64e6644c190307811b03f3c98" localSheetId="11" hidden="1">#REF!</definedName>
    <definedName name="MLNKffcae4d64e6644c190307811b03f3c98" hidden="1">#REF!</definedName>
    <definedName name="MMMMMMM" localSheetId="10" hidden="1">'[22]Backup data'!#REF!</definedName>
    <definedName name="MMMMMMM" localSheetId="8" hidden="1">'[22]Backup data'!#REF!</definedName>
    <definedName name="MMMMMMM" localSheetId="11" hidden="1">'[22]Backup data'!#REF!</definedName>
    <definedName name="MMMMMMM" localSheetId="7" hidden="1">'[22]Backup data'!#REF!</definedName>
    <definedName name="MMMMMMM" hidden="1">'[22]Backup data'!#REF!</definedName>
    <definedName name="newdata_03" localSheetId="10" hidden="1">'[33]Income Statement'!#REF!</definedName>
    <definedName name="newdata_03" localSheetId="8" hidden="1">'[33]Income Statement'!#REF!</definedName>
    <definedName name="newdata_03" localSheetId="11" hidden="1">'[33]Income Statement'!#REF!</definedName>
    <definedName name="newdata_03" hidden="1">'[33]Income Statement'!#REF!</definedName>
    <definedName name="NNNNNNNN" localSheetId="10" hidden="1">'[22]Backup data'!#REF!</definedName>
    <definedName name="NNNNNNNN" localSheetId="8" hidden="1">'[22]Backup data'!#REF!</definedName>
    <definedName name="NNNNNNNN" localSheetId="11" hidden="1">'[22]Backup data'!#REF!</definedName>
    <definedName name="NNNNNNNN" hidden="1">'[22]Backup data'!#REF!</definedName>
    <definedName name="NO" localSheetId="10" hidden="1">{"'Sheet1'!$A$1:$J$121"}</definedName>
    <definedName name="NO" localSheetId="3" hidden="1">{"'Sheet1'!$A$1:$J$121"}</definedName>
    <definedName name="NO" localSheetId="8" hidden="1">{"'Sheet1'!$A$1:$J$121"}</definedName>
    <definedName name="NO" localSheetId="11" hidden="1">{"'Sheet1'!$A$1:$J$121"}</definedName>
    <definedName name="NO" localSheetId="7" hidden="1">{"'Sheet1'!$A$1:$J$121"}</definedName>
    <definedName name="NO" hidden="1">{"'Sheet1'!$A$1:$J$121"}</definedName>
    <definedName name="old_1" hidden="1">[34]old!$V$5</definedName>
    <definedName name="oooo" localSheetId="10" hidden="1">#REF!</definedName>
    <definedName name="oooo" localSheetId="8" hidden="1">#REF!</definedName>
    <definedName name="oooo" localSheetId="11" hidden="1">#REF!</definedName>
    <definedName name="oooo" hidden="1">#REF!</definedName>
    <definedName name="Pal_Workbook_GUID" hidden="1">"ZNKQLAX5J3K18YY4TKR1FKU4"</definedName>
    <definedName name="Peerless" localSheetId="10" hidden="1">'[33]Income Statement'!#REF!</definedName>
    <definedName name="Peerless" localSheetId="8" hidden="1">'[33]Income Statement'!#REF!</definedName>
    <definedName name="Peerless" localSheetId="11" hidden="1">'[33]Income Statement'!#REF!</definedName>
    <definedName name="Peerless" localSheetId="7" hidden="1">'[33]Income Statement'!#REF!</definedName>
    <definedName name="Peerless" hidden="1">'[33]Income Statement'!#REF!</definedName>
    <definedName name="Peerless_Oil" localSheetId="10" hidden="1">'[33]Income Statement'!#REF!</definedName>
    <definedName name="Peerless_Oil" localSheetId="11" hidden="1">'[33]Income Statement'!#REF!</definedName>
    <definedName name="Peerless_Oil" hidden="1">'[33]Income Statement'!#REF!</definedName>
    <definedName name="plp" localSheetId="10" hidden="1">#REF!</definedName>
    <definedName name="plp" localSheetId="8" hidden="1">#REF!</definedName>
    <definedName name="plp" localSheetId="11" hidden="1">#REF!</definedName>
    <definedName name="plp" hidden="1">#REF!</definedName>
    <definedName name="pp" localSheetId="10" hidden="1">#REF!</definedName>
    <definedName name="pp" localSheetId="8" hidden="1">#REF!</definedName>
    <definedName name="pp" localSheetId="11" hidden="1">#REF!</definedName>
    <definedName name="pp" hidden="1">#REF!</definedName>
    <definedName name="_xlnm.Print_Area" localSheetId="2">'B2A Summary'!$A$1:$M$58</definedName>
    <definedName name="_xlnm.Print_Area" localSheetId="6">'Monthly Expenses'!$A$1:$BP$89</definedName>
    <definedName name="_xlnm.Print_Area" localSheetId="3">'Monthly Revenues'!$A$1:$BP$72</definedName>
    <definedName name="_xlnm.Print_Area" localSheetId="7">'Variances Detail'!$B$2:$G$70</definedName>
    <definedName name="Prolinks" localSheetId="10" hidden="1">#REF!</definedName>
    <definedName name="Prolinks" localSheetId="8" hidden="1">#REF!</definedName>
    <definedName name="Prolinks" localSheetId="11" hidden="1">#REF!</definedName>
    <definedName name="Prolinks" hidden="1">#REF!</definedName>
    <definedName name="prolinks_01a0c545244d4f229c69e2c67ee9ea9d" localSheetId="10" hidden="1">#REF!</definedName>
    <definedName name="prolinks_01a0c545244d4f229c69e2c67ee9ea9d" localSheetId="8" hidden="1">#REF!</definedName>
    <definedName name="prolinks_01a0c545244d4f229c69e2c67ee9ea9d" localSheetId="11" hidden="1">#REF!</definedName>
    <definedName name="prolinks_01a0c545244d4f229c69e2c67ee9ea9d" hidden="1">#REF!</definedName>
    <definedName name="prolinks_0596fd2adbfc47d9ac3dcd5e1105a21e" localSheetId="8" hidden="1">#REF!</definedName>
    <definedName name="prolinks_0596fd2adbfc47d9ac3dcd5e1105a21e" hidden="1">#REF!</definedName>
    <definedName name="prolinks_05b6403fe6544606bca0a8a09800be0e" localSheetId="8" hidden="1">#REF!</definedName>
    <definedName name="prolinks_05b6403fe6544606bca0a8a09800be0e" hidden="1">#REF!</definedName>
    <definedName name="prolinks_07079316794a4c46b6138c660d6cab03" localSheetId="8" hidden="1">#REF!</definedName>
    <definedName name="prolinks_07079316794a4c46b6138c660d6cab03" hidden="1">#REF!</definedName>
    <definedName name="prolinks_084ed1bfada6443a8affa63e32e51247" localSheetId="8" hidden="1">#REF!</definedName>
    <definedName name="prolinks_084ed1bfada6443a8affa63e32e51247" hidden="1">#REF!</definedName>
    <definedName name="prolinks_0bd622004eaf4b0aa10ea0454f7737d3" localSheetId="8" hidden="1">#REF!</definedName>
    <definedName name="prolinks_0bd622004eaf4b0aa10ea0454f7737d3" hidden="1">#REF!</definedName>
    <definedName name="prolinks_0c39044a3d254a02b33af0ca7ef1260d" localSheetId="8" hidden="1">#REF!</definedName>
    <definedName name="prolinks_0c39044a3d254a02b33af0ca7ef1260d" hidden="1">#REF!</definedName>
    <definedName name="prolinks_153e906add294d409d3bee7cebfbd3aa" localSheetId="8" hidden="1">#REF!</definedName>
    <definedName name="prolinks_153e906add294d409d3bee7cebfbd3aa" hidden="1">#REF!</definedName>
    <definedName name="prolinks_16c801b6d5414c808dc66f9650a35a32" localSheetId="8" hidden="1">#REF!</definedName>
    <definedName name="prolinks_16c801b6d5414c808dc66f9650a35a32" hidden="1">#REF!</definedName>
    <definedName name="prolinks_1894464ecd844143a98140f3ac4ef19e" localSheetId="8" hidden="1">#REF!</definedName>
    <definedName name="prolinks_1894464ecd844143a98140f3ac4ef19e" hidden="1">#REF!</definedName>
    <definedName name="prolinks_1a1180f1f3e641ed9c22276f0fe7150f" localSheetId="10" hidden="1">[35]Proposal!#REF!</definedName>
    <definedName name="prolinks_1a1180f1f3e641ed9c22276f0fe7150f" localSheetId="11" hidden="1">[35]Proposal!#REF!</definedName>
    <definedName name="prolinks_1a1180f1f3e641ed9c22276f0fe7150f" hidden="1">[35]Proposal!#REF!</definedName>
    <definedName name="prolinks_1b10443825df43a5bbcde18ad7b18113" localSheetId="10" hidden="1">#REF!</definedName>
    <definedName name="prolinks_1b10443825df43a5bbcde18ad7b18113" localSheetId="8" hidden="1">#REF!</definedName>
    <definedName name="prolinks_1b10443825df43a5bbcde18ad7b18113" localSheetId="11" hidden="1">#REF!</definedName>
    <definedName name="prolinks_1b10443825df43a5bbcde18ad7b18113" hidden="1">#REF!</definedName>
    <definedName name="prolinks_1e840767a25b4ad08fa3dc104c1c19c4" localSheetId="10" hidden="1">#REF!</definedName>
    <definedName name="prolinks_1e840767a25b4ad08fa3dc104c1c19c4" localSheetId="8" hidden="1">#REF!</definedName>
    <definedName name="prolinks_1e840767a25b4ad08fa3dc104c1c19c4" localSheetId="11" hidden="1">#REF!</definedName>
    <definedName name="prolinks_1e840767a25b4ad08fa3dc104c1c19c4" hidden="1">#REF!</definedName>
    <definedName name="prolinks_2315b8bd8bcc4444a08b48b2c77053ca" localSheetId="8" hidden="1">#REF!</definedName>
    <definedName name="prolinks_2315b8bd8bcc4444a08b48b2c77053ca" hidden="1">#REF!</definedName>
    <definedName name="prolinks_251191970339467cab486c77ead21660" localSheetId="8" hidden="1">#REF!</definedName>
    <definedName name="prolinks_251191970339467cab486c77ead21660" hidden="1">#REF!</definedName>
    <definedName name="prolinks_269280657b0c40669ef2af3dbb710223" localSheetId="8" hidden="1">#REF!</definedName>
    <definedName name="prolinks_269280657b0c40669ef2af3dbb710223" hidden="1">#REF!</definedName>
    <definedName name="prolinks_297e01ee305549e7a2a9f942c5c52474" localSheetId="8" hidden="1">#REF!</definedName>
    <definedName name="prolinks_297e01ee305549e7a2a9f942c5c52474" hidden="1">#REF!</definedName>
    <definedName name="prolinks_29e19fe27bcc451e950ff0f11bd9a54e" localSheetId="8" hidden="1">#REF!</definedName>
    <definedName name="prolinks_29e19fe27bcc451e950ff0f11bd9a54e" hidden="1">#REF!</definedName>
    <definedName name="prolinks_29ee4a881da745cca1da125d14abce08" localSheetId="8" hidden="1">#REF!</definedName>
    <definedName name="prolinks_29ee4a881da745cca1da125d14abce08" hidden="1">#REF!</definedName>
    <definedName name="prolinks_2a30da71db3b42c88741a51b9cb339dd" localSheetId="8" hidden="1">#REF!</definedName>
    <definedName name="prolinks_2a30da71db3b42c88741a51b9cb339dd" hidden="1">#REF!</definedName>
    <definedName name="prolinks_2c4caad7f5944f7798d2a625ad989183" localSheetId="8" hidden="1">#REF!</definedName>
    <definedName name="prolinks_2c4caad7f5944f7798d2a625ad989183" hidden="1">#REF!</definedName>
    <definedName name="prolinks_2ce22f1b67544a8b99e88db841a1f1ec" localSheetId="8" hidden="1">#REF!</definedName>
    <definedName name="prolinks_2ce22f1b67544a8b99e88db841a1f1ec" hidden="1">#REF!</definedName>
    <definedName name="prolinks_2f1d7117ff404629bc717793b05a2956" localSheetId="8" hidden="1">#REF!</definedName>
    <definedName name="prolinks_2f1d7117ff404629bc717793b05a2956" hidden="1">#REF!</definedName>
    <definedName name="prolinks_302f9d26fad04e1bab3f36cdb2618eab" localSheetId="8" hidden="1">#REF!</definedName>
    <definedName name="prolinks_302f9d26fad04e1bab3f36cdb2618eab" hidden="1">#REF!</definedName>
    <definedName name="prolinks_311d0528edd74c82b9d45d06c98a92cb" localSheetId="8" hidden="1">#REF!</definedName>
    <definedName name="prolinks_311d0528edd74c82b9d45d06c98a92cb" hidden="1">#REF!</definedName>
    <definedName name="prolinks_31415462c3fd417db9b0ec9e6d00abdc" localSheetId="8" hidden="1">#REF!</definedName>
    <definedName name="prolinks_31415462c3fd417db9b0ec9e6d00abdc" hidden="1">#REF!</definedName>
    <definedName name="prolinks_3150f41485d1418491e3fbaa2d4f74cb" localSheetId="8" hidden="1">#REF!</definedName>
    <definedName name="prolinks_3150f41485d1418491e3fbaa2d4f74cb" hidden="1">#REF!</definedName>
    <definedName name="prolinks_3822661531d4453c834d7ea10d816693" localSheetId="8" hidden="1">#REF!</definedName>
    <definedName name="prolinks_3822661531d4453c834d7ea10d816693" hidden="1">#REF!</definedName>
    <definedName name="prolinks_3913934609ab4afebbafc48782261e35" localSheetId="8" hidden="1">#REF!</definedName>
    <definedName name="prolinks_3913934609ab4afebbafc48782261e35" hidden="1">#REF!</definedName>
    <definedName name="prolinks_396d4479c5554944954a234f1f19a13a" localSheetId="8" hidden="1">#REF!</definedName>
    <definedName name="prolinks_396d4479c5554944954a234f1f19a13a" hidden="1">#REF!</definedName>
    <definedName name="prolinks_398ce964af0b4cf6b43d8a3c029305a7" localSheetId="8" hidden="1">#REF!</definedName>
    <definedName name="prolinks_398ce964af0b4cf6b43d8a3c029305a7" hidden="1">#REF!</definedName>
    <definedName name="prolinks_3cc09d21fe9e4072801fa9d96b3f00cc" localSheetId="10" hidden="1">[35]Proposal!#REF!</definedName>
    <definedName name="prolinks_3cc09d21fe9e4072801fa9d96b3f00cc" localSheetId="11" hidden="1">[35]Proposal!#REF!</definedName>
    <definedName name="prolinks_3cc09d21fe9e4072801fa9d96b3f00cc" hidden="1">[35]Proposal!#REF!</definedName>
    <definedName name="prolinks_3d28d008ebba40b5a64fd754838e4b8e" localSheetId="10" hidden="1">#REF!</definedName>
    <definedName name="prolinks_3d28d008ebba40b5a64fd754838e4b8e" localSheetId="8" hidden="1">#REF!</definedName>
    <definedName name="prolinks_3d28d008ebba40b5a64fd754838e4b8e" localSheetId="11" hidden="1">#REF!</definedName>
    <definedName name="prolinks_3d28d008ebba40b5a64fd754838e4b8e" hidden="1">#REF!</definedName>
    <definedName name="prolinks_3e29fd8b9e3e4e2e8770f54e37e423dd" localSheetId="10" hidden="1">#REF!</definedName>
    <definedName name="prolinks_3e29fd8b9e3e4e2e8770f54e37e423dd" localSheetId="8" hidden="1">#REF!</definedName>
    <definedName name="prolinks_3e29fd8b9e3e4e2e8770f54e37e423dd" localSheetId="11" hidden="1">#REF!</definedName>
    <definedName name="prolinks_3e29fd8b9e3e4e2e8770f54e37e423dd" hidden="1">#REF!</definedName>
    <definedName name="prolinks_3efcb4254c274b7fb425f1162b75e951" localSheetId="8" hidden="1">#REF!</definedName>
    <definedName name="prolinks_3efcb4254c274b7fb425f1162b75e951" hidden="1">#REF!</definedName>
    <definedName name="prolinks_437bb4220c8e4ebeb6b3d9271afb1aab" localSheetId="8" hidden="1">#REF!</definedName>
    <definedName name="prolinks_437bb4220c8e4ebeb6b3d9271afb1aab" hidden="1">#REF!</definedName>
    <definedName name="prolinks_442ddd5473734c6f96b29c85c157aab0" localSheetId="8" hidden="1">#REF!</definedName>
    <definedName name="prolinks_442ddd5473734c6f96b29c85c157aab0" hidden="1">#REF!</definedName>
    <definedName name="prolinks_45dc3460c3f54620838861f7ff097bd7" localSheetId="8" hidden="1">#REF!</definedName>
    <definedName name="prolinks_45dc3460c3f54620838861f7ff097bd7" hidden="1">#REF!</definedName>
    <definedName name="prolinks_47159d94af764027946a892d6281337a" localSheetId="8" hidden="1">#REF!</definedName>
    <definedName name="prolinks_47159d94af764027946a892d6281337a" hidden="1">#REF!</definedName>
    <definedName name="prolinks_499ddfb95f9c4e21983d5b4f16720ed8" localSheetId="8" hidden="1">#REF!</definedName>
    <definedName name="prolinks_499ddfb95f9c4e21983d5b4f16720ed8" hidden="1">#REF!</definedName>
    <definedName name="prolinks_4ac541fb65aa4cffa7845318f2487856" localSheetId="8" hidden="1">#REF!</definedName>
    <definedName name="prolinks_4ac541fb65aa4cffa7845318f2487856" hidden="1">#REF!</definedName>
    <definedName name="prolinks_4b76ce19b1764f58a7de0c7badc1a4cc" localSheetId="8" hidden="1">#REF!</definedName>
    <definedName name="prolinks_4b76ce19b1764f58a7de0c7badc1a4cc" hidden="1">#REF!</definedName>
    <definedName name="prolinks_4c4ab9c9295844449e6ef6a37eaf4d74" localSheetId="8" hidden="1">#REF!</definedName>
    <definedName name="prolinks_4c4ab9c9295844449e6ef6a37eaf4d74" hidden="1">#REF!</definedName>
    <definedName name="prolinks_4f12b91b18f74a1dbe303ad750e877fd" localSheetId="8" hidden="1">#REF!</definedName>
    <definedName name="prolinks_4f12b91b18f74a1dbe303ad750e877fd" hidden="1">#REF!</definedName>
    <definedName name="prolinks_53c7c8aaf9f04cffbaa87348d9df0245" localSheetId="8" hidden="1">#REF!</definedName>
    <definedName name="prolinks_53c7c8aaf9f04cffbaa87348d9df0245" hidden="1">#REF!</definedName>
    <definedName name="prolinks_57fc0241e78544168405d3c45c0e84d1" localSheetId="8" hidden="1">#REF!</definedName>
    <definedName name="prolinks_57fc0241e78544168405d3c45c0e84d1" hidden="1">#REF!</definedName>
    <definedName name="prolinks_5a55b5157df94ea2b702089c4379a8bd" localSheetId="8" hidden="1">#REF!</definedName>
    <definedName name="prolinks_5a55b5157df94ea2b702089c4379a8bd" hidden="1">#REF!</definedName>
    <definedName name="prolinks_62db8ffd9b594b17859bc36f2fe3c672" localSheetId="8" hidden="1">#REF!</definedName>
    <definedName name="prolinks_62db8ffd9b594b17859bc36f2fe3c672" hidden="1">#REF!</definedName>
    <definedName name="prolinks_63a9bdf02b6c452a9a4c91b0f583bba1" localSheetId="8" hidden="1">#REF!</definedName>
    <definedName name="prolinks_63a9bdf02b6c452a9a4c91b0f583bba1" hidden="1">#REF!</definedName>
    <definedName name="prolinks_6536fc9dc9114ad2aab73e674b297019" localSheetId="8" hidden="1">#REF!</definedName>
    <definedName name="prolinks_6536fc9dc9114ad2aab73e674b297019" hidden="1">#REF!</definedName>
    <definedName name="prolinks_6aef5f4cf91d4dbea7b10dfab4dd0b69" localSheetId="8" hidden="1">#REF!</definedName>
    <definedName name="prolinks_6aef5f4cf91d4dbea7b10dfab4dd0b69" hidden="1">#REF!</definedName>
    <definedName name="prolinks_6c9f4dd2b1254dac81169534c956b14a" localSheetId="8" hidden="1">#REF!</definedName>
    <definedName name="prolinks_6c9f4dd2b1254dac81169534c956b14a" hidden="1">#REF!</definedName>
    <definedName name="prolinks_6ce43db491284e169954079042de7780" localSheetId="8" hidden="1">#REF!</definedName>
    <definedName name="prolinks_6ce43db491284e169954079042de7780" hidden="1">#REF!</definedName>
    <definedName name="prolinks_6e10ebbf83b94914b959794854db3bec" localSheetId="8" hidden="1">#REF!</definedName>
    <definedName name="prolinks_6e10ebbf83b94914b959794854db3bec" hidden="1">#REF!</definedName>
    <definedName name="prolinks_6e9fd860277a4bc699b9c43d2d7be378" localSheetId="8" hidden="1">#REF!</definedName>
    <definedName name="prolinks_6e9fd860277a4bc699b9c43d2d7be378" hidden="1">#REF!</definedName>
    <definedName name="prolinks_6fd65cba148d4852a159055e43b7364d" localSheetId="8" hidden="1">#REF!</definedName>
    <definedName name="prolinks_6fd65cba148d4852a159055e43b7364d" hidden="1">#REF!</definedName>
    <definedName name="prolinks_71091622e8f842c496418537f6f8232b" localSheetId="8" hidden="1">#REF!</definedName>
    <definedName name="prolinks_71091622e8f842c496418537f6f8232b" hidden="1">#REF!</definedName>
    <definedName name="prolinks_729ba1e1244044298e893fa24d15ef5b" localSheetId="8" hidden="1">#REF!</definedName>
    <definedName name="prolinks_729ba1e1244044298e893fa24d15ef5b" hidden="1">#REF!</definedName>
    <definedName name="prolinks_73bdf07f47594a918de2df613892ac5f" localSheetId="10" hidden="1">'[36]Capitalization Table'!#REF!</definedName>
    <definedName name="prolinks_73bdf07f47594a918de2df613892ac5f" localSheetId="11" hidden="1">'[36]Capitalization Table'!#REF!</definedName>
    <definedName name="prolinks_73bdf07f47594a918de2df613892ac5f" hidden="1">'[36]Capitalization Table'!#REF!</definedName>
    <definedName name="prolinks_76701a5f97af43c3a899f97fbb841c7d" localSheetId="10" hidden="1">#REF!</definedName>
    <definedName name="prolinks_76701a5f97af43c3a899f97fbb841c7d" localSheetId="8" hidden="1">#REF!</definedName>
    <definedName name="prolinks_76701a5f97af43c3a899f97fbb841c7d" localSheetId="11" hidden="1">#REF!</definedName>
    <definedName name="prolinks_76701a5f97af43c3a899f97fbb841c7d" hidden="1">#REF!</definedName>
    <definedName name="prolinks_783281649d824e239f361bda3d777126" localSheetId="10" hidden="1">#REF!</definedName>
    <definedName name="prolinks_783281649d824e239f361bda3d777126" localSheetId="8" hidden="1">#REF!</definedName>
    <definedName name="prolinks_783281649d824e239f361bda3d777126" localSheetId="11" hidden="1">#REF!</definedName>
    <definedName name="prolinks_783281649d824e239f361bda3d777126" hidden="1">#REF!</definedName>
    <definedName name="prolinks_7854b8c2bb6e4275a477329e39458a84" localSheetId="8" hidden="1">#REF!</definedName>
    <definedName name="prolinks_7854b8c2bb6e4275a477329e39458a84" hidden="1">#REF!</definedName>
    <definedName name="prolinks_7ab99053e479431b82ff19df79fe72c8" localSheetId="8" hidden="1">#REF!</definedName>
    <definedName name="prolinks_7ab99053e479431b82ff19df79fe72c8" hidden="1">#REF!</definedName>
    <definedName name="prolinks_7aff1d9dc2c244b8b8495d792eee85de" localSheetId="8" hidden="1">#REF!</definedName>
    <definedName name="prolinks_7aff1d9dc2c244b8b8495d792eee85de" hidden="1">#REF!</definedName>
    <definedName name="prolinks_7bdcd4efcc1f4fb588dacf81c60bb005" localSheetId="8" hidden="1">#REF!</definedName>
    <definedName name="prolinks_7bdcd4efcc1f4fb588dacf81c60bb005" hidden="1">#REF!</definedName>
    <definedName name="prolinks_7d02ebcac34d4e67951b8f51de0a0fe6" localSheetId="8" hidden="1">#REF!</definedName>
    <definedName name="prolinks_7d02ebcac34d4e67951b8f51de0a0fe6" hidden="1">#REF!</definedName>
    <definedName name="prolinks_7f58e1b33f1f46cfb9c8bb1c52fe1be0" localSheetId="8" hidden="1">#REF!</definedName>
    <definedName name="prolinks_7f58e1b33f1f46cfb9c8bb1c52fe1be0" hidden="1">#REF!</definedName>
    <definedName name="prolinks_813adc2f79724bdda86d936689968484" localSheetId="8" hidden="1">#REF!</definedName>
    <definedName name="prolinks_813adc2f79724bdda86d936689968484" hidden="1">#REF!</definedName>
    <definedName name="prolinks_81e6479f400441e4a47828e6bcebd1d6" localSheetId="8" hidden="1">#REF!</definedName>
    <definedName name="prolinks_81e6479f400441e4a47828e6bcebd1d6" hidden="1">#REF!</definedName>
    <definedName name="prolinks_838aa2644ebb4821875ecbaaa89b884d" localSheetId="8" hidden="1">#REF!</definedName>
    <definedName name="prolinks_838aa2644ebb4821875ecbaaa89b884d" hidden="1">#REF!</definedName>
    <definedName name="prolinks_8b07f12b2e8c4eff9e7641d70f4852c9" localSheetId="8" hidden="1">#REF!</definedName>
    <definedName name="prolinks_8b07f12b2e8c4eff9e7641d70f4852c9" hidden="1">#REF!</definedName>
    <definedName name="prolinks_8b5ec9efcc3d4ade9099d1de311e88fd" localSheetId="8" hidden="1">#REF!</definedName>
    <definedName name="prolinks_8b5ec9efcc3d4ade9099d1de311e88fd" hidden="1">#REF!</definedName>
    <definedName name="prolinks_8e2caed5fcc143818106df72e5202b72" localSheetId="8" hidden="1">#REF!</definedName>
    <definedName name="prolinks_8e2caed5fcc143818106df72e5202b72" hidden="1">#REF!</definedName>
    <definedName name="prolinks_8e7fffd3287a4277aded18e39b6364bc" localSheetId="8" hidden="1">#REF!</definedName>
    <definedName name="prolinks_8e7fffd3287a4277aded18e39b6364bc" hidden="1">#REF!</definedName>
    <definedName name="prolinks_8ed704e218f241be962cd235e57746a1" localSheetId="8" hidden="1">#REF!</definedName>
    <definedName name="prolinks_8ed704e218f241be962cd235e57746a1" hidden="1">#REF!</definedName>
    <definedName name="prolinks_8edb616f62c448769e6639f38b6623c5" localSheetId="8" hidden="1">#REF!</definedName>
    <definedName name="prolinks_8edb616f62c448769e6639f38b6623c5" hidden="1">#REF!</definedName>
    <definedName name="prolinks_8fb6aa628096493aabd317fa95569d10" localSheetId="8" hidden="1">#REF!</definedName>
    <definedName name="prolinks_8fb6aa628096493aabd317fa95569d10" hidden="1">#REF!</definedName>
    <definedName name="prolinks_8ff61c0212a14f2ab5f3a95ad9c19813" localSheetId="8" hidden="1">#REF!</definedName>
    <definedName name="prolinks_8ff61c0212a14f2ab5f3a95ad9c19813" hidden="1">#REF!</definedName>
    <definedName name="prolinks_93235e12b9674060bdd2757692f80852" localSheetId="8" hidden="1">#REF!</definedName>
    <definedName name="prolinks_93235e12b9674060bdd2757692f80852" hidden="1">#REF!</definedName>
    <definedName name="prolinks_94e19c79a940426783b5581f61e1fc8a" localSheetId="8" hidden="1">#REF!</definedName>
    <definedName name="prolinks_94e19c79a940426783b5581f61e1fc8a" hidden="1">#REF!</definedName>
    <definedName name="prolinks_952645b3039845d2bba9e6243317b4c6" localSheetId="8" hidden="1">#REF!</definedName>
    <definedName name="prolinks_952645b3039845d2bba9e6243317b4c6" hidden="1">#REF!</definedName>
    <definedName name="prolinks_95468763cb394a05ab7bb2e9f10ff0c0" localSheetId="8" hidden="1">#REF!</definedName>
    <definedName name="prolinks_95468763cb394a05ab7bb2e9f10ff0c0" hidden="1">#REF!</definedName>
    <definedName name="prolinks_9927d4e49dd649d590d0169962d2c31b" localSheetId="8" hidden="1">#REF!</definedName>
    <definedName name="prolinks_9927d4e49dd649d590d0169962d2c31b" hidden="1">#REF!</definedName>
    <definedName name="prolinks_9be1b1ff9810477f88a14f4e08ee760f" localSheetId="8" hidden="1">#REF!</definedName>
    <definedName name="prolinks_9be1b1ff9810477f88a14f4e08ee760f" hidden="1">#REF!</definedName>
    <definedName name="prolinks_9e92dd59b4af44f5b619e1d76b560cef" localSheetId="8" hidden="1">#REF!</definedName>
    <definedName name="prolinks_9e92dd59b4af44f5b619e1d76b560cef" hidden="1">#REF!</definedName>
    <definedName name="prolinks_9fa1969c91154da0bf75e3de018cf480" localSheetId="8" hidden="1">#REF!</definedName>
    <definedName name="prolinks_9fa1969c91154da0bf75e3de018cf480" hidden="1">#REF!</definedName>
    <definedName name="prolinks_9fe2e41412f344698615a70872c9340c" localSheetId="8" hidden="1">#REF!</definedName>
    <definedName name="prolinks_9fe2e41412f344698615a70872c9340c" hidden="1">#REF!</definedName>
    <definedName name="prolinks_a07d81485e6c41f8a48303a8a55020a1" localSheetId="8" hidden="1">#REF!</definedName>
    <definedName name="prolinks_a07d81485e6c41f8a48303a8a55020a1" hidden="1">#REF!</definedName>
    <definedName name="prolinks_a0cb65b6c50f4f40901be287c9b5ced5" localSheetId="8" hidden="1">#REF!</definedName>
    <definedName name="prolinks_a0cb65b6c50f4f40901be287c9b5ced5" hidden="1">#REF!</definedName>
    <definedName name="prolinks_a0d7e602572549bd95216e66df19e635" localSheetId="8" hidden="1">#REF!</definedName>
    <definedName name="prolinks_a0d7e602572549bd95216e66df19e635" hidden="1">#REF!</definedName>
    <definedName name="prolinks_a5acd4bbba1d4f59b792722ad0897584" localSheetId="8" hidden="1">#REF!</definedName>
    <definedName name="prolinks_a5acd4bbba1d4f59b792722ad0897584" hidden="1">#REF!</definedName>
    <definedName name="prolinks_a67c6718e4024c6e907eb6573ff16d20" localSheetId="8" hidden="1">#REF!</definedName>
    <definedName name="prolinks_a67c6718e4024c6e907eb6573ff16d20" hidden="1">#REF!</definedName>
    <definedName name="prolinks_a890d3110cae4f1eba92cde4ee8cbc46" localSheetId="8" hidden="1">#REF!</definedName>
    <definedName name="prolinks_a890d3110cae4f1eba92cde4ee8cbc46" hidden="1">#REF!</definedName>
    <definedName name="prolinks_a8e0483ab7734ea4a53606e3c66ba69c" localSheetId="8" hidden="1">#REF!</definedName>
    <definedName name="prolinks_a8e0483ab7734ea4a53606e3c66ba69c" hidden="1">#REF!</definedName>
    <definedName name="prolinks_aa9b7b4e372945c3abb86628166704bf" localSheetId="8" hidden="1">#REF!</definedName>
    <definedName name="prolinks_aa9b7b4e372945c3abb86628166704bf" hidden="1">#REF!</definedName>
    <definedName name="prolinks_ab00ba90adad435da536d9b7b2aaf1b5" localSheetId="8" hidden="1">#REF!</definedName>
    <definedName name="prolinks_ab00ba90adad435da536d9b7b2aaf1b5" hidden="1">#REF!</definedName>
    <definedName name="prolinks_abe8fc64082f417da5eb6a55edaaa7a7" localSheetId="8" hidden="1">#REF!</definedName>
    <definedName name="prolinks_abe8fc64082f417da5eb6a55edaaa7a7" hidden="1">#REF!</definedName>
    <definedName name="prolinks_adaa05af54964bbf9e438c75e7b19832" localSheetId="8" hidden="1">#REF!</definedName>
    <definedName name="prolinks_adaa05af54964bbf9e438c75e7b19832" hidden="1">#REF!</definedName>
    <definedName name="prolinks_addc13bdf90544acacc3cf09f2049ca4" localSheetId="8" hidden="1">#REF!</definedName>
    <definedName name="prolinks_addc13bdf90544acacc3cf09f2049ca4" hidden="1">#REF!</definedName>
    <definedName name="prolinks_b13de5ea0d624a40936df80ffe256b44" localSheetId="8" hidden="1">#REF!</definedName>
    <definedName name="prolinks_b13de5ea0d624a40936df80ffe256b44" hidden="1">#REF!</definedName>
    <definedName name="prolinks_b3aa849a2e6c48c48bc8ead0ea0fd810" localSheetId="8" hidden="1">#REF!</definedName>
    <definedName name="prolinks_b3aa849a2e6c48c48bc8ead0ea0fd810" hidden="1">#REF!</definedName>
    <definedName name="prolinks_b727e5aeabca4ef3abe343f5f98fd62b" localSheetId="8" hidden="1">#REF!</definedName>
    <definedName name="prolinks_b727e5aeabca4ef3abe343f5f98fd62b" hidden="1">#REF!</definedName>
    <definedName name="prolinks_b74fefe7a841427b8812ae235a114981" localSheetId="8" hidden="1">#REF!</definedName>
    <definedName name="prolinks_b74fefe7a841427b8812ae235a114981" hidden="1">#REF!</definedName>
    <definedName name="prolinks_b7f1b6a836c44835a590f39240171991" localSheetId="8" hidden="1">#REF!</definedName>
    <definedName name="prolinks_b7f1b6a836c44835a590f39240171991" hidden="1">#REF!</definedName>
    <definedName name="prolinks_b8b2f6fecae24f829baebfa74dcdbf9f" localSheetId="8" hidden="1">#REF!</definedName>
    <definedName name="prolinks_b8b2f6fecae24f829baebfa74dcdbf9f" hidden="1">#REF!</definedName>
    <definedName name="prolinks_b98361ec1ed04934b23a5a2770c7f995" localSheetId="8" hidden="1">#REF!</definedName>
    <definedName name="prolinks_b98361ec1ed04934b23a5a2770c7f995" hidden="1">#REF!</definedName>
    <definedName name="prolinks_b9df031d4d0d4ab29962fd550a1fe868" localSheetId="8" hidden="1">#REF!</definedName>
    <definedName name="prolinks_b9df031d4d0d4ab29962fd550a1fe868" hidden="1">#REF!</definedName>
    <definedName name="prolinks_ba188ca90a3c4d24bd1c540383fa706c" localSheetId="8" hidden="1">#REF!</definedName>
    <definedName name="prolinks_ba188ca90a3c4d24bd1c540383fa706c" hidden="1">#REF!</definedName>
    <definedName name="prolinks_bada7301b0d44b99962d1ff009334a68" localSheetId="8" hidden="1">#REF!</definedName>
    <definedName name="prolinks_bada7301b0d44b99962d1ff009334a68" hidden="1">#REF!</definedName>
    <definedName name="prolinks_bb4f498021a9414eab3c25dedff7544c" localSheetId="8" hidden="1">#REF!</definedName>
    <definedName name="prolinks_bb4f498021a9414eab3c25dedff7544c" hidden="1">#REF!</definedName>
    <definedName name="prolinks_bff2e1febd8541b9b9d69d0a07400b66" localSheetId="8" hidden="1">#REF!</definedName>
    <definedName name="prolinks_bff2e1febd8541b9b9d69d0a07400b66" hidden="1">#REF!</definedName>
    <definedName name="prolinks_c015d9bc61214160bc4b5a2dbc3f6f45" localSheetId="8" hidden="1">#REF!</definedName>
    <definedName name="prolinks_c015d9bc61214160bc4b5a2dbc3f6f45" hidden="1">#REF!</definedName>
    <definedName name="prolinks_c3eda7a1057741118d468193231e1360" localSheetId="8" hidden="1">#REF!</definedName>
    <definedName name="prolinks_c3eda7a1057741118d468193231e1360" hidden="1">#REF!</definedName>
    <definedName name="prolinks_c4d5e33cbbf245a79094e9b81891dd1f" localSheetId="8" hidden="1">#REF!</definedName>
    <definedName name="prolinks_c4d5e33cbbf245a79094e9b81891dd1f" hidden="1">#REF!</definedName>
    <definedName name="prolinks_c4ddd55390664dc0bc933f5d67c8074b" localSheetId="10" hidden="1">[35]Proposal!#REF!</definedName>
    <definedName name="prolinks_c4ddd55390664dc0bc933f5d67c8074b" localSheetId="11" hidden="1">[35]Proposal!#REF!</definedName>
    <definedName name="prolinks_c4ddd55390664dc0bc933f5d67c8074b" hidden="1">[35]Proposal!#REF!</definedName>
    <definedName name="prolinks_c6a26505b29b4489b91597649353821a" localSheetId="10" hidden="1">#REF!</definedName>
    <definedName name="prolinks_c6a26505b29b4489b91597649353821a" localSheetId="8" hidden="1">#REF!</definedName>
    <definedName name="prolinks_c6a26505b29b4489b91597649353821a" localSheetId="11" hidden="1">#REF!</definedName>
    <definedName name="prolinks_c6a26505b29b4489b91597649353821a" hidden="1">#REF!</definedName>
    <definedName name="prolinks_c755bd23d4484c1db18de2fe7dd2abc9" localSheetId="10" hidden="1">#REF!</definedName>
    <definedName name="prolinks_c755bd23d4484c1db18de2fe7dd2abc9" localSheetId="8" hidden="1">#REF!</definedName>
    <definedName name="prolinks_c755bd23d4484c1db18de2fe7dd2abc9" localSheetId="11" hidden="1">#REF!</definedName>
    <definedName name="prolinks_c755bd23d4484c1db18de2fe7dd2abc9" hidden="1">#REF!</definedName>
    <definedName name="prolinks_c844d24617204ed9a6dabdc891c08b9e" localSheetId="8" hidden="1">#REF!</definedName>
    <definedName name="prolinks_c844d24617204ed9a6dabdc891c08b9e" hidden="1">#REF!</definedName>
    <definedName name="prolinks_c9c5afd1fc704b7f9390c56c44a096c0" localSheetId="8" hidden="1">#REF!</definedName>
    <definedName name="prolinks_c9c5afd1fc704b7f9390c56c44a096c0" hidden="1">#REF!</definedName>
    <definedName name="prolinks_cad4a14647874b23af7128335a610f24" localSheetId="8" hidden="1">#REF!</definedName>
    <definedName name="prolinks_cad4a14647874b23af7128335a610f24" hidden="1">#REF!</definedName>
    <definedName name="prolinks_cd49ffc9bb7d414b8afe97beac6d90f3" localSheetId="8" hidden="1">#REF!</definedName>
    <definedName name="prolinks_cd49ffc9bb7d414b8afe97beac6d90f3" hidden="1">#REF!</definedName>
    <definedName name="prolinks_cd89e02986ba4685aa15520996838f2e" localSheetId="8" hidden="1">#REF!</definedName>
    <definedName name="prolinks_cd89e02986ba4685aa15520996838f2e" hidden="1">#REF!</definedName>
    <definedName name="prolinks_cee058f8dfee4e839cb7b72760e497b4" localSheetId="8" hidden="1">#REF!</definedName>
    <definedName name="prolinks_cee058f8dfee4e839cb7b72760e497b4" hidden="1">#REF!</definedName>
    <definedName name="prolinks_d00d5ff52b3244949647792dd5b29ca2" localSheetId="8" hidden="1">#REF!</definedName>
    <definedName name="prolinks_d00d5ff52b3244949647792dd5b29ca2" hidden="1">#REF!</definedName>
    <definedName name="prolinks_d2e2c06e5d3d44269a0d0ea732be255f" localSheetId="8" hidden="1">#REF!</definedName>
    <definedName name="prolinks_d2e2c06e5d3d44269a0d0ea732be255f" hidden="1">#REF!</definedName>
    <definedName name="prolinks_d390b891c44b4ab0904a17accc0afdb2" localSheetId="8" hidden="1">#REF!</definedName>
    <definedName name="prolinks_d390b891c44b4ab0904a17accc0afdb2" hidden="1">#REF!</definedName>
    <definedName name="prolinks_db2c5223fe504007a340dffad7e9ed3b" localSheetId="10" hidden="1">[35]Proposal!#REF!</definedName>
    <definedName name="prolinks_db2c5223fe504007a340dffad7e9ed3b" localSheetId="11" hidden="1">[35]Proposal!#REF!</definedName>
    <definedName name="prolinks_db2c5223fe504007a340dffad7e9ed3b" hidden="1">[35]Proposal!#REF!</definedName>
    <definedName name="prolinks_db7147ba65744086bbd2a21e694e947a" localSheetId="10" hidden="1">#REF!</definedName>
    <definedName name="prolinks_db7147ba65744086bbd2a21e694e947a" localSheetId="8" hidden="1">#REF!</definedName>
    <definedName name="prolinks_db7147ba65744086bbd2a21e694e947a" localSheetId="11" hidden="1">#REF!</definedName>
    <definedName name="prolinks_db7147ba65744086bbd2a21e694e947a" hidden="1">#REF!</definedName>
    <definedName name="prolinks_dc2940f3a5bc46ed887a485ff901feec" localSheetId="10" hidden="1">#REF!</definedName>
    <definedName name="prolinks_dc2940f3a5bc46ed887a485ff901feec" localSheetId="8" hidden="1">#REF!</definedName>
    <definedName name="prolinks_dc2940f3a5bc46ed887a485ff901feec" localSheetId="11" hidden="1">#REF!</definedName>
    <definedName name="prolinks_dc2940f3a5bc46ed887a485ff901feec" hidden="1">#REF!</definedName>
    <definedName name="prolinks_e185529d7f034b55812ad248179a5881" localSheetId="8" hidden="1">#REF!</definedName>
    <definedName name="prolinks_e185529d7f034b55812ad248179a5881" hidden="1">#REF!</definedName>
    <definedName name="prolinks_e1ff643da2a849058518187a76d3a803" localSheetId="8" hidden="1">#REF!</definedName>
    <definedName name="prolinks_e1ff643da2a849058518187a76d3a803" hidden="1">#REF!</definedName>
    <definedName name="prolinks_e764c635a7704212822e099ce2db4433" localSheetId="8" hidden="1">#REF!</definedName>
    <definedName name="prolinks_e764c635a7704212822e099ce2db4433" hidden="1">#REF!</definedName>
    <definedName name="prolinks_e8c20c59dfa246bdad0a7cb4f14076d8" localSheetId="8" hidden="1">#REF!</definedName>
    <definedName name="prolinks_e8c20c59dfa246bdad0a7cb4f14076d8" hidden="1">#REF!</definedName>
    <definedName name="prolinks_e913e66ba78a4b3d9920a66b0675d870" localSheetId="8" hidden="1">#REF!</definedName>
    <definedName name="prolinks_e913e66ba78a4b3d9920a66b0675d870" hidden="1">#REF!</definedName>
    <definedName name="prolinks_eaffce5b7d644fc6b54758c18332c670" localSheetId="8" hidden="1">#REF!</definedName>
    <definedName name="prolinks_eaffce5b7d644fc6b54758c18332c670" hidden="1">#REF!</definedName>
    <definedName name="prolinks_edb6bc70250c4ceeac251242e3382fac" localSheetId="8" hidden="1">#REF!</definedName>
    <definedName name="prolinks_edb6bc70250c4ceeac251242e3382fac" hidden="1">#REF!</definedName>
    <definedName name="prolinks_f3044257c4514b20aea865c2c5f817c2" localSheetId="8" hidden="1">#REF!</definedName>
    <definedName name="prolinks_f3044257c4514b20aea865c2c5f817c2" hidden="1">#REF!</definedName>
    <definedName name="prolinks_f6d3bd2ad3554b1d8db15db9dd703f4b" localSheetId="8" hidden="1">#REF!</definedName>
    <definedName name="prolinks_f6d3bd2ad3554b1d8db15db9dd703f4b" hidden="1">#REF!</definedName>
    <definedName name="prolinks_f70dfef8b9b34dc7addcd6d5473a0d08" localSheetId="8" hidden="1">#REF!</definedName>
    <definedName name="prolinks_f70dfef8b9b34dc7addcd6d5473a0d08" hidden="1">#REF!</definedName>
    <definedName name="prolinks_f71062a11e7b40c4b957e58b4dd34d90" localSheetId="8" hidden="1">#REF!</definedName>
    <definedName name="prolinks_f71062a11e7b40c4b957e58b4dd34d90" hidden="1">#REF!</definedName>
    <definedName name="prolinks_f8e19b003fb243f6988fce57fb584f95" localSheetId="8" hidden="1">#REF!</definedName>
    <definedName name="prolinks_f8e19b003fb243f6988fce57fb584f95" hidden="1">#REF!</definedName>
    <definedName name="prolinks_f9cf7614e4114edab33672654fe96027" localSheetId="8" hidden="1">#REF!</definedName>
    <definedName name="prolinks_f9cf7614e4114edab33672654fe96027" hidden="1">#REF!</definedName>
    <definedName name="prolinks_fae53b540a064601ba73d34ad6aac807" localSheetId="8" hidden="1">#REF!</definedName>
    <definedName name="prolinks_fae53b540a064601ba73d34ad6aac807" hidden="1">#REF!</definedName>
    <definedName name="prolinks_ff92d145439e490c83d6f0393fbd7f74" localSheetId="8" hidden="1">#REF!</definedName>
    <definedName name="prolinks_ff92d145439e490c83d6f0393fbd7f74" hidden="1">#REF!</definedName>
    <definedName name="prolinks_ffa0b2ad3c6f448690ca8f789618251f" localSheetId="8" hidden="1">#REF!</definedName>
    <definedName name="prolinks_ffa0b2ad3c6f448690ca8f789618251f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r" localSheetId="10" hidden="1">#REF!</definedName>
    <definedName name="rr" localSheetId="8" hidden="1">#REF!</definedName>
    <definedName name="rr" localSheetId="11" hidden="1">#REF!</definedName>
    <definedName name="rr" hidden="1">#REF!</definedName>
    <definedName name="rrrrrrrrrrrr" localSheetId="10" hidden="1">'[33]Income Statement'!#REF!</definedName>
    <definedName name="rrrrrrrrrrrr" localSheetId="3" hidden="1">'[33]Income Statement'!#REF!</definedName>
    <definedName name="rrrrrrrrrrrr" localSheetId="8" hidden="1">'[33]Income Statement'!#REF!</definedName>
    <definedName name="rrrrrrrrrrrr" localSheetId="11" hidden="1">'[33]Income Statement'!#REF!</definedName>
    <definedName name="rrrrrrrrrrrr" hidden="1">'[33]Income Statement'!#REF!</definedName>
    <definedName name="S" localSheetId="10" hidden="1">#REF!</definedName>
    <definedName name="S" localSheetId="8" hidden="1">#REF!</definedName>
    <definedName name="S" localSheetId="11" hidden="1">#REF!</definedName>
    <definedName name="S" hidden="1">#REF!</definedName>
    <definedName name="solver_adj" hidden="1">'[37]Generic BL Model'!$B$12</definedName>
    <definedName name="solver_lin" hidden="1">0</definedName>
    <definedName name="solver_ntri" hidden="1">1000</definedName>
    <definedName name="solver_num" hidden="1">0</definedName>
    <definedName name="solver_opt" hidden="1">'[37]Generic BL Model'!$J$16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table6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localSheetId="10" hidden="1">#REF!</definedName>
    <definedName name="TEMPREFERENCE" localSheetId="8" hidden="1">#REF!</definedName>
    <definedName name="TEMPREFERENCE" localSheetId="11" hidden="1">#REF!</definedName>
    <definedName name="TEMPREFERENCE" localSheetId="7" hidden="1">#REF!</definedName>
    <definedName name="TEMPREFERENCE" hidden="1">#REF!</definedName>
    <definedName name="TempReference2" localSheetId="10" hidden="1">#REF!</definedName>
    <definedName name="TempReference2" localSheetId="8" hidden="1">#REF!</definedName>
    <definedName name="TempReference2" localSheetId="11" hidden="1">#REF!</definedName>
    <definedName name="TempReference2" hidden="1">#REF!</definedName>
    <definedName name="Tempreference3" localSheetId="8" hidden="1">#REF!</definedName>
    <definedName name="Tempreference3" hidden="1">#REF!</definedName>
    <definedName name="TempReference4" localSheetId="8" hidden="1">#REF!</definedName>
    <definedName name="TempReference4" hidden="1">#REF!</definedName>
    <definedName name="TempReference5" localSheetId="8" hidden="1">#REF!</definedName>
    <definedName name="TempReference5" hidden="1">#REF!</definedName>
    <definedName name="TempReference6" localSheetId="8" hidden="1">#REF!</definedName>
    <definedName name="TempReference6" hidden="1">#REF!</definedName>
    <definedName name="TempReference7" localSheetId="8" hidden="1">#REF!</definedName>
    <definedName name="TempReference7" hidden="1">#REF!</definedName>
    <definedName name="TempReference8" localSheetId="8" hidden="1">#REF!</definedName>
    <definedName name="TempReference8" hidden="1">#REF!</definedName>
    <definedName name="three" localSheetId="10" hidden="1">{"midlpg1",#N/A,FALSE,"MIDEAST LPG";"midlpg2",#N/A,FALSE,"MIDEAST LPG"}</definedName>
    <definedName name="three" localSheetId="3" hidden="1">{"midlpg1",#N/A,FALSE,"MIDEAST LPG";"midlpg2",#N/A,FALSE,"MIDEAST LPG"}</definedName>
    <definedName name="three" localSheetId="8" hidden="1">{"midlpg1",#N/A,FALSE,"MIDEAST LPG";"midlpg2",#N/A,FALSE,"MIDEAST LPG"}</definedName>
    <definedName name="three" localSheetId="11" hidden="1">{"midlpg1",#N/A,FALSE,"MIDEAST LPG";"midlpg2",#N/A,FALSE,"MIDEAST LPG"}</definedName>
    <definedName name="three" localSheetId="7" hidden="1">{"midlpg1",#N/A,FALSE,"MIDEAST LPG";"midlpg2",#N/A,FALSE,"MIDEAST LPG"}</definedName>
    <definedName name="three" hidden="1">{"midlpg1",#N/A,FALSE,"MIDEAST LPG";"midlpg2",#N/A,FALSE,"MIDEAST LPG"}</definedName>
    <definedName name="thththt" localSheetId="10" hidden="1">#REF!</definedName>
    <definedName name="thththt" localSheetId="8" hidden="1">#REF!</definedName>
    <definedName name="thththt" localSheetId="11" hidden="1">#REF!</definedName>
    <definedName name="thththt" hidden="1">#REF!</definedName>
    <definedName name="time" localSheetId="10" hidden="1">{"japcurrent1",#N/A,FALSE,"JAPAN PRODUCTS";"japcurrent2",#N/A,FALSE,"JAPAN PRODUCTS"}</definedName>
    <definedName name="time" localSheetId="3" hidden="1">{"japcurrent1",#N/A,FALSE,"JAPAN PRODUCTS";"japcurrent2",#N/A,FALSE,"JAPAN PRODUCTS"}</definedName>
    <definedName name="time" localSheetId="8" hidden="1">{"japcurrent1",#N/A,FALSE,"JAPAN PRODUCTS";"japcurrent2",#N/A,FALSE,"JAPAN PRODUCTS"}</definedName>
    <definedName name="time" localSheetId="11" hidden="1">{"japcurrent1",#N/A,FALSE,"JAPAN PRODUCTS";"japcurrent2",#N/A,FALSE,"JAPAN PRODUCTS"}</definedName>
    <definedName name="time" localSheetId="7" hidden="1">{"japcurrent1",#N/A,FALSE,"JAPAN PRODUCTS";"japcurrent2",#N/A,FALSE,"JAPAN PRODUCTS"}</definedName>
    <definedName name="time" hidden="1">{"japcurrent1",#N/A,FALSE,"JAPAN PRODUCTS";"japcurrent2",#N/A,FALSE,"JAPAN PRODUCTS"}</definedName>
    <definedName name="trans" hidden="1">[38]trans!$A$1:$F$167</definedName>
    <definedName name="TRef10" localSheetId="10" hidden="1">#REF!</definedName>
    <definedName name="TRef10" localSheetId="8" hidden="1">#REF!</definedName>
    <definedName name="TRef10" localSheetId="11" hidden="1">#REF!</definedName>
    <definedName name="TRef10" hidden="1">#REF!</definedName>
    <definedName name="Tref11" localSheetId="10" hidden="1">#REF!</definedName>
    <definedName name="Tref11" localSheetId="8" hidden="1">#REF!</definedName>
    <definedName name="Tref11" localSheetId="11" hidden="1">#REF!</definedName>
    <definedName name="Tref11" hidden="1">#REF!</definedName>
    <definedName name="TRef12" localSheetId="8" hidden="1">#REF!</definedName>
    <definedName name="TRef12" hidden="1">#REF!</definedName>
    <definedName name="Tref13" localSheetId="8" hidden="1">#REF!</definedName>
    <definedName name="Tref13" hidden="1">#REF!</definedName>
    <definedName name="TRef14" localSheetId="8" hidden="1">#REF!</definedName>
    <definedName name="TRef14" hidden="1">#REF!</definedName>
    <definedName name="TREF15" localSheetId="8" hidden="1">#REF!</definedName>
    <definedName name="TREF15" hidden="1">#REF!</definedName>
    <definedName name="TREF16" localSheetId="8" hidden="1">#REF!</definedName>
    <definedName name="TREF16" hidden="1">#REF!</definedName>
    <definedName name="TREF17" hidden="1">[9]Various!#REF!</definedName>
    <definedName name="TREF18" localSheetId="10" hidden="1">#REF!</definedName>
    <definedName name="TREF18" localSheetId="8" hidden="1">#REF!</definedName>
    <definedName name="TREF18" localSheetId="11" hidden="1">#REF!</definedName>
    <definedName name="TREF18" hidden="1">#REF!</definedName>
    <definedName name="Tref9" localSheetId="10" hidden="1">#REF!</definedName>
    <definedName name="Tref9" localSheetId="8" hidden="1">#REF!</definedName>
    <definedName name="Tref9" localSheetId="11" hidden="1">#REF!</definedName>
    <definedName name="Tref9" hidden="1">#REF!</definedName>
    <definedName name="tt" localSheetId="10" hidden="1">#REF!</definedName>
    <definedName name="tt" localSheetId="8" hidden="1">#REF!</definedName>
    <definedName name="tt" localSheetId="11" hidden="1">#REF!</definedName>
    <definedName name="tt" hidden="1">#REF!</definedName>
    <definedName name="tttttr" localSheetId="10" hidden="1">'[39]CVR NPVs'!#REF!</definedName>
    <definedName name="tttttr" localSheetId="11" hidden="1">'[39]CVR NPVs'!#REF!</definedName>
    <definedName name="tttttr" hidden="1">'[39]CVR NPVs'!#REF!</definedName>
    <definedName name="TTTTTTTTTT" localSheetId="10" hidden="1">#REF!</definedName>
    <definedName name="TTTTTTTTTT" localSheetId="8" hidden="1">#REF!</definedName>
    <definedName name="TTTTTTTTTT" localSheetId="11" hidden="1">#REF!</definedName>
    <definedName name="TTTTTTTTTT" hidden="1">#REF!</definedName>
    <definedName name="ttttttttttt" localSheetId="10" hidden="1">'[33]Income Statement'!#REF!</definedName>
    <definedName name="ttttttttttt" localSheetId="8" hidden="1">'[33]Income Statement'!#REF!</definedName>
    <definedName name="ttttttttttt" localSheetId="11" hidden="1">'[33]Income Statement'!#REF!</definedName>
    <definedName name="ttttttttttt" hidden="1">'[33]Income Statement'!#REF!</definedName>
    <definedName name="two" localSheetId="10" hidden="1">{"japlpg1",#N/A,FALSE,"JAPAN LPG ";"japllpg2",#N/A,FALSE,"JAPAN LPG "}</definedName>
    <definedName name="two" localSheetId="3" hidden="1">{"japlpg1",#N/A,FALSE,"JAPAN LPG ";"japllpg2",#N/A,FALSE,"JAPAN LPG "}</definedName>
    <definedName name="two" localSheetId="8" hidden="1">{"japlpg1",#N/A,FALSE,"JAPAN LPG ";"japllpg2",#N/A,FALSE,"JAPAN LPG "}</definedName>
    <definedName name="two" localSheetId="11" hidden="1">{"japlpg1",#N/A,FALSE,"JAPAN LPG ";"japllpg2",#N/A,FALSE,"JAPAN LPG "}</definedName>
    <definedName name="two" localSheetId="7" hidden="1">{"japlpg1",#N/A,FALSE,"JAPAN LPG ";"japllpg2",#N/A,FALSE,"JAPAN LPG "}</definedName>
    <definedName name="two" hidden="1">{"japlpg1",#N/A,FALSE,"JAPAN LPG ";"japllpg2",#N/A,FALSE,"JAPAN LPG "}</definedName>
    <definedName name="U" localSheetId="10" hidden="1">#REF!</definedName>
    <definedName name="U" localSheetId="8" hidden="1">#REF!</definedName>
    <definedName name="U" localSheetId="11" hidden="1">#REF!</definedName>
    <definedName name="U" hidden="1">#REF!</definedName>
    <definedName name="ukuku" localSheetId="10" hidden="1">#REF!</definedName>
    <definedName name="ukuku" localSheetId="8" hidden="1">#REF!</definedName>
    <definedName name="ukuku" localSheetId="11" hidden="1">#REF!</definedName>
    <definedName name="ukuku" hidden="1">#REF!</definedName>
    <definedName name="uu" localSheetId="8" hidden="1">#REF!</definedName>
    <definedName name="uu" hidden="1">#REF!</definedName>
    <definedName name="v" localSheetId="8" hidden="1">#REF!</definedName>
    <definedName name="v" hidden="1">#REF!</definedName>
    <definedName name="VVVVVVVV" localSheetId="10" hidden="1">'[22]Backup data'!#REF!</definedName>
    <definedName name="VVVVVVVV" localSheetId="3" hidden="1">'[22]Backup data'!#REF!</definedName>
    <definedName name="VVVVVVVV" localSheetId="11" hidden="1">'[22]Backup data'!#REF!</definedName>
    <definedName name="VVVVVVVV" hidden="1">'[22]Backup data'!#REF!</definedName>
    <definedName name="w" localSheetId="8">#REF!</definedName>
    <definedName name="w" localSheetId="7">#REF!</definedName>
    <definedName name="w">#REF!</definedName>
    <definedName name="wed" localSheetId="10" hidden="1">#REF!</definedName>
    <definedName name="wed" localSheetId="3" hidden="1">#REF!</definedName>
    <definedName name="wed" localSheetId="8" hidden="1">#REF!</definedName>
    <definedName name="wed" localSheetId="11" hidden="1">#REF!</definedName>
    <definedName name="wed" hidden="1">#REF!</definedName>
    <definedName name="wrn.Coal._.Questionnaire." localSheetId="1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8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1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7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ude." localSheetId="10" hidden="1">{"current1",#N/A,FALSE,"CRUDE";"current2",#N/A,FALSE,"CRUDE";"CONSTANT",#N/A,FALSE,"CRUDE"}</definedName>
    <definedName name="wrn.crude." localSheetId="3" hidden="1">{"current1",#N/A,FALSE,"CRUDE";"current2",#N/A,FALSE,"CRUDE";"CONSTANT",#N/A,FALSE,"CRUDE"}</definedName>
    <definedName name="wrn.crude." localSheetId="8" hidden="1">{"current1",#N/A,FALSE,"CRUDE";"current2",#N/A,FALSE,"CRUDE";"CONSTANT",#N/A,FALSE,"CRUDE"}</definedName>
    <definedName name="wrn.crude." localSheetId="11" hidden="1">{"current1",#N/A,FALSE,"CRUDE";"current2",#N/A,FALSE,"CRUDE";"CONSTANT",#N/A,FALSE,"CRUDE"}</definedName>
    <definedName name="wrn.crude." localSheetId="7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10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3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8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11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7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localSheetId="1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8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1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localSheetId="10" hidden="1">{"natgas1",#N/A,FALSE,"u.s. Natural Gas";"natgas2",#N/A,FALSE,"u.s. Natural Gas"}</definedName>
    <definedName name="wrn.natgastab." localSheetId="3" hidden="1">{"natgas1",#N/A,FALSE,"u.s. Natural Gas";"natgas2",#N/A,FALSE,"u.s. Natural Gas"}</definedName>
    <definedName name="wrn.natgastab." localSheetId="8" hidden="1">{"natgas1",#N/A,FALSE,"u.s. Natural Gas";"natgas2",#N/A,FALSE,"u.s. Natural Gas"}</definedName>
    <definedName name="wrn.natgastab." localSheetId="11" hidden="1">{"natgas1",#N/A,FALSE,"u.s. Natural Gas";"natgas2",#N/A,FALSE,"u.s. Natural Gas"}</definedName>
    <definedName name="wrn.natgastab." localSheetId="7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PrintAll." localSheetId="10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3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8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11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7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savings." localSheetId="10" hidden="1">{#N/A,#N/A,FALSE,"FY97P1";#N/A,#N/A,FALSE,"FY97Z312";#N/A,#N/A,FALSE,"FY97LRBC";#N/A,#N/A,FALSE,"FY97O";#N/A,#N/A,FALSE,"FY97DAM"}</definedName>
    <definedName name="wrn.savings." localSheetId="3" hidden="1">{#N/A,#N/A,FALSE,"FY97P1";#N/A,#N/A,FALSE,"FY97Z312";#N/A,#N/A,FALSE,"FY97LRBC";#N/A,#N/A,FALSE,"FY97O";#N/A,#N/A,FALSE,"FY97DAM"}</definedName>
    <definedName name="wrn.savings." localSheetId="8" hidden="1">{#N/A,#N/A,FALSE,"FY97P1";#N/A,#N/A,FALSE,"FY97Z312";#N/A,#N/A,FALSE,"FY97LRBC";#N/A,#N/A,FALSE,"FY97O";#N/A,#N/A,FALSE,"FY97DAM"}</definedName>
    <definedName name="wrn.savings." localSheetId="11" hidden="1">{#N/A,#N/A,FALSE,"FY97P1";#N/A,#N/A,FALSE,"FY97Z312";#N/A,#N/A,FALSE,"FY97LRBC";#N/A,#N/A,FALSE,"FY97O";#N/A,#N/A,FALSE,"FY97DAM"}</definedName>
    <definedName name="wrn.savings." localSheetId="7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10" hidden="1">{#N/A,#N/A,FALSE,"Bldg 75 lean-to T setback";#N/A,#N/A,FALSE,"Bldg 75 hangar T setback";#N/A,#N/A,FALSE,"Bldg 79 lean-to T setback";#N/A,#N/A,FALSE,"Bldg 79 hangar T setback"}</definedName>
    <definedName name="wrn.sb._.rpt." localSheetId="3" hidden="1">{#N/A,#N/A,FALSE,"Bldg 75 lean-to T setback";#N/A,#N/A,FALSE,"Bldg 75 hangar T setback";#N/A,#N/A,FALSE,"Bldg 79 lean-to T setback";#N/A,#N/A,FALSE,"Bldg 79 hangar T setback"}</definedName>
    <definedName name="wrn.sb._.rpt." localSheetId="8" hidden="1">{#N/A,#N/A,FALSE,"Bldg 75 lean-to T setback";#N/A,#N/A,FALSE,"Bldg 75 hangar T setback";#N/A,#N/A,FALSE,"Bldg 79 lean-to T setback";#N/A,#N/A,FALSE,"Bldg 79 hangar T setback"}</definedName>
    <definedName name="wrn.sb._.rpt." localSheetId="11" hidden="1">{#N/A,#N/A,FALSE,"Bldg 75 lean-to T setback";#N/A,#N/A,FALSE,"Bldg 75 hangar T setback";#N/A,#N/A,FALSE,"Bldg 79 lean-to T setback";#N/A,#N/A,FALSE,"Bldg 79 hangar T setback"}</definedName>
    <definedName name="wrn.sb._.rpt." localSheetId="7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10" hidden="1">{"singcurrent1",#N/A,FALSE,"SING MARG";"SINGCURRENT2",#N/A,FALSE,"SING MARG";"SINGCONSTANT",#N/A,FALSE,"SING MARG"}</definedName>
    <definedName name="wrn.SINGPROD." localSheetId="3" hidden="1">{"singcurrent1",#N/A,FALSE,"SING MARG";"SINGCURRENT2",#N/A,FALSE,"SING MARG";"SINGCONSTANT",#N/A,FALSE,"SING MARG"}</definedName>
    <definedName name="wrn.SINGPROD." localSheetId="8" hidden="1">{"singcurrent1",#N/A,FALSE,"SING MARG";"SINGCURRENT2",#N/A,FALSE,"SING MARG";"SINGCONSTANT",#N/A,FALSE,"SING MARG"}</definedName>
    <definedName name="wrn.SINGPROD." localSheetId="11" hidden="1">{"singcurrent1",#N/A,FALSE,"SING MARG";"SINGCURRENT2",#N/A,FALSE,"SING MARG";"SINGCONSTANT",#N/A,FALSE,"SING MARG"}</definedName>
    <definedName name="wrn.SINGPROD." localSheetId="7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10" hidden="1">{#N/A,#N/A,TRUE,"Sheet1";#N/A,#N/A,TRUE,"Sheet2 (2)"}</definedName>
    <definedName name="wrn.Stmlks." localSheetId="3" hidden="1">{#N/A,#N/A,TRUE,"Sheet1";#N/A,#N/A,TRUE,"Sheet2 (2)"}</definedName>
    <definedName name="wrn.Stmlks." localSheetId="8" hidden="1">{#N/A,#N/A,TRUE,"Sheet1";#N/A,#N/A,TRUE,"Sheet2 (2)"}</definedName>
    <definedName name="wrn.Stmlks." localSheetId="11" hidden="1">{#N/A,#N/A,TRUE,"Sheet1";#N/A,#N/A,TRUE,"Sheet2 (2)"}</definedName>
    <definedName name="wrn.Stmlks." localSheetId="7" hidden="1">{#N/A,#N/A,TRUE,"Sheet1";#N/A,#N/A,TRUE,"Sheet2 (2)"}</definedName>
    <definedName name="wrn.Stmlks." hidden="1">{#N/A,#N/A,TRUE,"Sheet1";#N/A,#N/A,TRUE,"Sheet2 (2)"}</definedName>
    <definedName name="wrn.tableeurlpg." localSheetId="10" hidden="1">{"eurlpg1",#N/A,FALSE,"europe LPG";"eurlpg2",#N/A,FALSE,"europe LPG"}</definedName>
    <definedName name="wrn.tableeurlpg." localSheetId="3" hidden="1">{"eurlpg1",#N/A,FALSE,"europe LPG";"eurlpg2",#N/A,FALSE,"europe LPG"}</definedName>
    <definedName name="wrn.tableeurlpg." localSheetId="8" hidden="1">{"eurlpg1",#N/A,FALSE,"europe LPG";"eurlpg2",#N/A,FALSE,"europe LPG"}</definedName>
    <definedName name="wrn.tableeurlpg." localSheetId="11" hidden="1">{"eurlpg1",#N/A,FALSE,"europe LPG";"eurlpg2",#N/A,FALSE,"europe LPG"}</definedName>
    <definedName name="wrn.tableeurlpg." localSheetId="7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10" hidden="1">{"japcurrent1",#N/A,FALSE,"JAPAN PRODUCTS";"japcurrent2",#N/A,FALSE,"JAPAN PRODUCTS"}</definedName>
    <definedName name="wrn.tablejap." localSheetId="3" hidden="1">{"japcurrent1",#N/A,FALSE,"JAPAN PRODUCTS";"japcurrent2",#N/A,FALSE,"JAPAN PRODUCTS"}</definedName>
    <definedName name="wrn.tablejap." localSheetId="8" hidden="1">{"japcurrent1",#N/A,FALSE,"JAPAN PRODUCTS";"japcurrent2",#N/A,FALSE,"JAPAN PRODUCTS"}</definedName>
    <definedName name="wrn.tablejap." localSheetId="11" hidden="1">{"japcurrent1",#N/A,FALSE,"JAPAN PRODUCTS";"japcurrent2",#N/A,FALSE,"JAPAN PRODUCTS"}</definedName>
    <definedName name="wrn.tablejap." localSheetId="7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10" hidden="1">{"japlpg1",#N/A,FALSE,"JAPAN LPG ";"japllpg2",#N/A,FALSE,"JAPAN LPG "}</definedName>
    <definedName name="wrn.tablejaplpg." localSheetId="3" hidden="1">{"japlpg1",#N/A,FALSE,"JAPAN LPG ";"japllpg2",#N/A,FALSE,"JAPAN LPG "}</definedName>
    <definedName name="wrn.tablejaplpg." localSheetId="8" hidden="1">{"japlpg1",#N/A,FALSE,"JAPAN LPG ";"japllpg2",#N/A,FALSE,"JAPAN LPG "}</definedName>
    <definedName name="wrn.tablejaplpg." localSheetId="11" hidden="1">{"japlpg1",#N/A,FALSE,"JAPAN LPG ";"japllpg2",#N/A,FALSE,"JAPAN LPG "}</definedName>
    <definedName name="wrn.tablejaplpg." localSheetId="7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10" hidden="1">{"midlpg1",#N/A,FALSE,"MIDEAST LPG";"midlpg2",#N/A,FALSE,"MIDEAST LPG"}</definedName>
    <definedName name="wrn.tablemeastlpg." localSheetId="3" hidden="1">{"midlpg1",#N/A,FALSE,"MIDEAST LPG";"midlpg2",#N/A,FALSE,"MIDEAST LPG"}</definedName>
    <definedName name="wrn.tablemeastlpg." localSheetId="8" hidden="1">{"midlpg1",#N/A,FALSE,"MIDEAST LPG";"midlpg2",#N/A,FALSE,"MIDEAST LPG"}</definedName>
    <definedName name="wrn.tablemeastlpg." localSheetId="11" hidden="1">{"midlpg1",#N/A,FALSE,"MIDEAST LPG";"midlpg2",#N/A,FALSE,"MIDEAST LPG"}</definedName>
    <definedName name="wrn.tablemeastlpg." localSheetId="7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10" hidden="1">{"medcurrent1",#N/A,FALSE,"MED MARGINS";"medcurrent2",#N/A,FALSE,"MED MARGINS";"medconstant",#N/A,FALSE,"MED MARGINS"}</definedName>
    <definedName name="wrn.TABLEMED." localSheetId="3" hidden="1">{"medcurrent1",#N/A,FALSE,"MED MARGINS";"medcurrent2",#N/A,FALSE,"MED MARGINS";"medconstant",#N/A,FALSE,"MED MARGINS"}</definedName>
    <definedName name="wrn.TABLEMED." localSheetId="8" hidden="1">{"medcurrent1",#N/A,FALSE,"MED MARGINS";"medcurrent2",#N/A,FALSE,"MED MARGINS";"medconstant",#N/A,FALSE,"MED MARGINS"}</definedName>
    <definedName name="wrn.TABLEMED." localSheetId="11" hidden="1">{"medcurrent1",#N/A,FALSE,"MED MARGINS";"medcurrent2",#N/A,FALSE,"MED MARGINS";"medconstant",#N/A,FALSE,"MED MARGINS"}</definedName>
    <definedName name="wrn.TABLEMED." localSheetId="7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10" hidden="1">{"midcurrent1",#N/A,FALSE,"ARAB GULF PRODUCTS";"midcurrent2",#N/A,FALSE,"ARAB GULF PRODUCTS"}</definedName>
    <definedName name="wrn.tablemideast." localSheetId="3" hidden="1">{"midcurrent1",#N/A,FALSE,"ARAB GULF PRODUCTS";"midcurrent2",#N/A,FALSE,"ARAB GULF PRODUCTS"}</definedName>
    <definedName name="wrn.tablemideast." localSheetId="8" hidden="1">{"midcurrent1",#N/A,FALSE,"ARAB GULF PRODUCTS";"midcurrent2",#N/A,FALSE,"ARAB GULF PRODUCTS"}</definedName>
    <definedName name="wrn.tablemideast." localSheetId="11" hidden="1">{"midcurrent1",#N/A,FALSE,"ARAB GULF PRODUCTS";"midcurrent2",#N/A,FALSE,"ARAB GULF PRODUCTS"}</definedName>
    <definedName name="wrn.tablemideast." localSheetId="7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10" hidden="1">{"ngl1",#N/A,FALSE,"u.s. NGL";"ngl2",#N/A,FALSE,"u.s. NGL"}</definedName>
    <definedName name="wrn.tablengl." localSheetId="3" hidden="1">{"ngl1",#N/A,FALSE,"u.s. NGL";"ngl2",#N/A,FALSE,"u.s. NGL"}</definedName>
    <definedName name="wrn.tablengl." localSheetId="8" hidden="1">{"ngl1",#N/A,FALSE,"u.s. NGL";"ngl2",#N/A,FALSE,"u.s. NGL"}</definedName>
    <definedName name="wrn.tablengl." localSheetId="11" hidden="1">{"ngl1",#N/A,FALSE,"u.s. NGL";"ngl2",#N/A,FALSE,"u.s. NGL"}</definedName>
    <definedName name="wrn.tablengl." localSheetId="7" hidden="1">{"ngl1",#N/A,FALSE,"u.s. NGL";"ngl2",#N/A,FALSE,"u.s. NGL"}</definedName>
    <definedName name="wrn.tablengl." hidden="1">{"ngl1",#N/A,FALSE,"u.s. NGL";"ngl2",#N/A,FALSE,"u.s. NGL"}</definedName>
    <definedName name="wrn.TABLENWE." localSheetId="10" hidden="1">{"nwecurrent1",#N/A,FALSE,"NWE MARGINS";"nwecurrent2",#N/A,FALSE,"NWE MARGINS";"nweconstant",#N/A,FALSE,"NWE MARGINS"}</definedName>
    <definedName name="wrn.TABLENWE." localSheetId="3" hidden="1">{"nwecurrent1",#N/A,FALSE,"NWE MARGINS";"nwecurrent2",#N/A,FALSE,"NWE MARGINS";"nweconstant",#N/A,FALSE,"NWE MARGINS"}</definedName>
    <definedName name="wrn.TABLENWE." localSheetId="8" hidden="1">{"nwecurrent1",#N/A,FALSE,"NWE MARGINS";"nwecurrent2",#N/A,FALSE,"NWE MARGINS";"nweconstant",#N/A,FALSE,"NWE MARGINS"}</definedName>
    <definedName name="wrn.TABLENWE." localSheetId="11" hidden="1">{"nwecurrent1",#N/A,FALSE,"NWE MARGINS";"nwecurrent2",#N/A,FALSE,"NWE MARGINS";"nweconstant",#N/A,FALSE,"NWE MARGINS"}</definedName>
    <definedName name="wrn.TABLENWE." localSheetId="7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10" hidden="1">{"current1",#N/A,FALSE,"US PRODUCTS";"current2",#N/A,FALSE,"US PRODUCTS";"constant",#N/A,FALSE,"US PRODUCTS"}</definedName>
    <definedName name="wrn.tableprod." localSheetId="3" hidden="1">{"current1",#N/A,FALSE,"US PRODUCTS";"current2",#N/A,FALSE,"US PRODUCTS";"constant",#N/A,FALSE,"US PRODUCTS"}</definedName>
    <definedName name="wrn.tableprod." localSheetId="8" hidden="1">{"current1",#N/A,FALSE,"US PRODUCTS";"current2",#N/A,FALSE,"US PRODUCTS";"constant",#N/A,FALSE,"US PRODUCTS"}</definedName>
    <definedName name="wrn.tableprod." localSheetId="11" hidden="1">{"current1",#N/A,FALSE,"US PRODUCTS";"current2",#N/A,FALSE,"US PRODUCTS";"constant",#N/A,FALSE,"US PRODUCTS"}</definedName>
    <definedName name="wrn.tableprod." localSheetId="7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otal." localSheetId="10" hidden="1">{#N/A,#N/A,FALSE,"Summary";#N/A,#N/A,FALSE,"Berkeley";#N/A,#N/A,FALSE,"HS";#N/A,#N/A,FALSE,"Brookside";#N/A,#N/A,FALSE,"George";#N/A,#N/A,FALSE,"Ketler";#N/A,#N/A,FALSE,"Washington"}</definedName>
    <definedName name="wrn.total." localSheetId="3" hidden="1">{#N/A,#N/A,FALSE,"Summary";#N/A,#N/A,FALSE,"Berkeley";#N/A,#N/A,FALSE,"HS";#N/A,#N/A,FALSE,"Brookside";#N/A,#N/A,FALSE,"George";#N/A,#N/A,FALSE,"Ketler";#N/A,#N/A,FALSE,"Washington"}</definedName>
    <definedName name="wrn.total." localSheetId="8" hidden="1">{#N/A,#N/A,FALSE,"Summary";#N/A,#N/A,FALSE,"Berkeley";#N/A,#N/A,FALSE,"HS";#N/A,#N/A,FALSE,"Brookside";#N/A,#N/A,FALSE,"George";#N/A,#N/A,FALSE,"Ketler";#N/A,#N/A,FALSE,"Washington"}</definedName>
    <definedName name="wrn.total." localSheetId="11" hidden="1">{#N/A,#N/A,FALSE,"Summary";#N/A,#N/A,FALSE,"Berkeley";#N/A,#N/A,FALSE,"HS";#N/A,#N/A,FALSE,"Brookside";#N/A,#N/A,FALSE,"George";#N/A,#N/A,FALSE,"Ketler";#N/A,#N/A,FALSE,"Washington"}</definedName>
    <definedName name="wrn.total." localSheetId="7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localSheetId="10" hidden="1">{#N/A,#N/A,FALSE,"Summary";#N/A,#N/A,FALSE,"Berkeley";#N/A,#N/A,FALSE,"HS";#N/A,#N/A,FALSE,"Brookside";#N/A,#N/A,FALSE,"George";#N/A,#N/A,FALSE,"Ketler";#N/A,#N/A,FALSE,"Washington"}</definedName>
    <definedName name="wrn.ttl" localSheetId="3" hidden="1">{#N/A,#N/A,FALSE,"Summary";#N/A,#N/A,FALSE,"Berkeley";#N/A,#N/A,FALSE,"HS";#N/A,#N/A,FALSE,"Brookside";#N/A,#N/A,FALSE,"George";#N/A,#N/A,FALSE,"Ketler";#N/A,#N/A,FALSE,"Washington"}</definedName>
    <definedName name="wrn.ttl" localSheetId="8" hidden="1">{#N/A,#N/A,FALSE,"Summary";#N/A,#N/A,FALSE,"Berkeley";#N/A,#N/A,FALSE,"HS";#N/A,#N/A,FALSE,"Brookside";#N/A,#N/A,FALSE,"George";#N/A,#N/A,FALSE,"Ketler";#N/A,#N/A,FALSE,"Washington"}</definedName>
    <definedName name="wrn.ttl" localSheetId="11" hidden="1">{#N/A,#N/A,FALSE,"Summary";#N/A,#N/A,FALSE,"Berkeley";#N/A,#N/A,FALSE,"HS";#N/A,#N/A,FALSE,"Brookside";#N/A,#N/A,FALSE,"George";#N/A,#N/A,FALSE,"Ketler";#N/A,#N/A,FALSE,"Washington"}</definedName>
    <definedName name="wrn.ttl" localSheetId="7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localSheetId="10" hidden="1">#REF!</definedName>
    <definedName name="wwwwwwwwwww" localSheetId="8" hidden="1">#REF!</definedName>
    <definedName name="wwwwwwwwwww" localSheetId="11" hidden="1">#REF!</definedName>
    <definedName name="wwwwwwwwwww" hidden="1">#REF!</definedName>
    <definedName name="XReCopy8" localSheetId="10" hidden="1">#REF!</definedName>
    <definedName name="XReCopy8" localSheetId="8" hidden="1">#REF!</definedName>
    <definedName name="XReCopy8" localSheetId="11" hidden="1">#REF!</definedName>
    <definedName name="XReCopy8" hidden="1">#REF!</definedName>
    <definedName name="XREF_COLUMN_1" localSheetId="8" hidden="1">#REF!</definedName>
    <definedName name="XREF_COLUMN_1" hidden="1">#REF!</definedName>
    <definedName name="XREF_COLUMN_10" localSheetId="8" hidden="1">#REF!</definedName>
    <definedName name="XREF_COLUMN_10" hidden="1">#REF!</definedName>
    <definedName name="XREF_COLUMN_11" localSheetId="8" hidden="1">#REF!</definedName>
    <definedName name="XREF_COLUMN_11" hidden="1">#REF!</definedName>
    <definedName name="XREF_COLUMN_12" localSheetId="8" hidden="1">#REF!</definedName>
    <definedName name="XREF_COLUMN_12" hidden="1">#REF!</definedName>
    <definedName name="XREF_COLUMN_13" localSheetId="8" hidden="1">#REF!</definedName>
    <definedName name="XREF_COLUMN_13" hidden="1">#REF!</definedName>
    <definedName name="XREF_COLUMN_2" localSheetId="8" hidden="1">#REF!</definedName>
    <definedName name="XREF_COLUMN_2" hidden="1">#REF!</definedName>
    <definedName name="XREF_COLUMN_3" localSheetId="8" hidden="1">#REF!</definedName>
    <definedName name="XREF_COLUMN_3" hidden="1">#REF!</definedName>
    <definedName name="XREF_COLUMN_4" localSheetId="8" hidden="1">#REF!</definedName>
    <definedName name="XREF_COLUMN_4" hidden="1">#REF!</definedName>
    <definedName name="XREF_COLUMN_5" localSheetId="8" hidden="1">#REF!</definedName>
    <definedName name="XREF_COLUMN_5" hidden="1">#REF!</definedName>
    <definedName name="XREF_COLUMN_6" localSheetId="8" hidden="1">#REF!</definedName>
    <definedName name="XREF_COLUMN_6" hidden="1">#REF!</definedName>
    <definedName name="XREF_COLUMN_7" localSheetId="8" hidden="1">#REF!</definedName>
    <definedName name="XREF_COLUMN_7" hidden="1">#REF!</definedName>
    <definedName name="XREF_COLUMN_8" localSheetId="8" hidden="1">#REF!</definedName>
    <definedName name="XREF_COLUMN_8" hidden="1">#REF!</definedName>
    <definedName name="XREF_COLUMN_9" localSheetId="8" hidden="1">#REF!</definedName>
    <definedName name="XREF_COLUMN_9" hidden="1">#REF!</definedName>
    <definedName name="XRefActiveRow" localSheetId="8" hidden="1">#REF!</definedName>
    <definedName name="XRefActiveRow" hidden="1">#REF!</definedName>
    <definedName name="XRefCopy1" localSheetId="2" hidden="1">TextRefCopy1</definedName>
    <definedName name="XRefCopy1" localSheetId="10" hidden="1">TextRefCopy1</definedName>
    <definedName name="XRefCopy1" localSheetId="3" hidden="1">TextRefCopy1</definedName>
    <definedName name="XRefCopy1" localSheetId="8" hidden="1">TextRefCopy1</definedName>
    <definedName name="XRefCopy1" localSheetId="11" hidden="1">TextRefCopy1</definedName>
    <definedName name="XRefCopy1" localSheetId="7" hidden="1">TextRefCopy1</definedName>
    <definedName name="XRefCopy1" hidden="1">TextRefCopy1</definedName>
    <definedName name="XRefCopy10" localSheetId="10" hidden="1">#REF!</definedName>
    <definedName name="XRefCopy10" localSheetId="8" hidden="1">#REF!</definedName>
    <definedName name="XRefCopy10" localSheetId="11" hidden="1">#REF!</definedName>
    <definedName name="XRefCopy10" hidden="1">#REF!</definedName>
    <definedName name="XRefCopy10Row" localSheetId="10" hidden="1">#REF!</definedName>
    <definedName name="XRefCopy10Row" localSheetId="8" hidden="1">#REF!</definedName>
    <definedName name="XRefCopy10Row" localSheetId="11" hidden="1">#REF!</definedName>
    <definedName name="XRefCopy10Row" hidden="1">#REF!</definedName>
    <definedName name="XRefCopy11" localSheetId="8" hidden="1">#REF!</definedName>
    <definedName name="XRefCopy11" hidden="1">#REF!</definedName>
    <definedName name="XRefCopy11Row" localSheetId="8" hidden="1">#REF!</definedName>
    <definedName name="XRefCopy11Row" hidden="1">#REF!</definedName>
    <definedName name="XRefCopy12" localSheetId="8" hidden="1">#REF!</definedName>
    <definedName name="XRefCopy12" hidden="1">#REF!</definedName>
    <definedName name="XRefCopy12Row" localSheetId="8" hidden="1">#REF!</definedName>
    <definedName name="XRefCopy12Row" hidden="1">#REF!</definedName>
    <definedName name="XRefCopy13" localSheetId="8" hidden="1">#REF!</definedName>
    <definedName name="XRefCopy13" hidden="1">#REF!</definedName>
    <definedName name="XRefCopy14" localSheetId="8" hidden="1">#REF!</definedName>
    <definedName name="XRefCopy14" hidden="1">#REF!</definedName>
    <definedName name="XRefCopy14Row" localSheetId="8" hidden="1">#REF!</definedName>
    <definedName name="XRefCopy14Row" hidden="1">#REF!</definedName>
    <definedName name="XRefCopy15" localSheetId="8" hidden="1">#REF!</definedName>
    <definedName name="XRefCopy15" hidden="1">#REF!</definedName>
    <definedName name="XRefCopy15Row" localSheetId="8" hidden="1">#REF!</definedName>
    <definedName name="XRefCopy15Row" hidden="1">#REF!</definedName>
    <definedName name="XRefCopy16" localSheetId="8" hidden="1">#REF!</definedName>
    <definedName name="XRefCopy16" hidden="1">#REF!</definedName>
    <definedName name="XRefCopy17" localSheetId="8" hidden="1">#REF!</definedName>
    <definedName name="XRefCopy17" hidden="1">#REF!</definedName>
    <definedName name="XRefCopy17Row" localSheetId="8" hidden="1">#REF!</definedName>
    <definedName name="XRefCopy17Row" hidden="1">#REF!</definedName>
    <definedName name="XRefCopy18" localSheetId="8" hidden="1">#REF!</definedName>
    <definedName name="XRefCopy18" hidden="1">#REF!</definedName>
    <definedName name="XRefCopy19" localSheetId="8" hidden="1">#REF!</definedName>
    <definedName name="XRefCopy19" hidden="1">#REF!</definedName>
    <definedName name="XRefCopy19Row" localSheetId="8" hidden="1">#REF!</definedName>
    <definedName name="XRefCopy19Row" hidden="1">#REF!</definedName>
    <definedName name="XRefCopy20" localSheetId="10" hidden="1">#REF!</definedName>
    <definedName name="XRefCopy20" localSheetId="8" hidden="1">#REF!</definedName>
    <definedName name="XRefCopy20" localSheetId="11" hidden="1">#REF!</definedName>
    <definedName name="XRefCopy20" hidden="1">#REF!</definedName>
    <definedName name="XRefCopy20Row" localSheetId="10" hidden="1">#REF!</definedName>
    <definedName name="XRefCopy20Row" localSheetId="8" hidden="1">#REF!</definedName>
    <definedName name="XRefCopy20Row" hidden="1">#REF!</definedName>
    <definedName name="XRefCopy21" localSheetId="10" hidden="1">#REF!</definedName>
    <definedName name="XRefCopy21" localSheetId="8" hidden="1">#REF!</definedName>
    <definedName name="XRefCopy21" hidden="1">#REF!</definedName>
    <definedName name="XRefCopy21Row" localSheetId="8" hidden="1">#REF!</definedName>
    <definedName name="XRefCopy21Row" hidden="1">#REF!</definedName>
    <definedName name="XRefCopy22" localSheetId="8" hidden="1">#REF!</definedName>
    <definedName name="XRefCopy22" hidden="1">#REF!</definedName>
    <definedName name="XRefCopy22Row" localSheetId="8" hidden="1">#REF!</definedName>
    <definedName name="XRefCopy22Row" hidden="1">#REF!</definedName>
    <definedName name="XRefCopy23" localSheetId="8" hidden="1">#REF!</definedName>
    <definedName name="XRefCopy23" hidden="1">#REF!</definedName>
    <definedName name="XRefCopy23Row" localSheetId="8" hidden="1">#REF!</definedName>
    <definedName name="XRefCopy23Row" hidden="1">#REF!</definedName>
    <definedName name="XRefCopy24" localSheetId="8" hidden="1">#REF!</definedName>
    <definedName name="XRefCopy24" hidden="1">#REF!</definedName>
    <definedName name="XRefCopy24Row" localSheetId="8" hidden="1">#REF!</definedName>
    <definedName name="XRefCopy24Row" hidden="1">#REF!</definedName>
    <definedName name="XRefCopy25" localSheetId="8" hidden="1">#REF!</definedName>
    <definedName name="XRefCopy25" hidden="1">#REF!</definedName>
    <definedName name="XRefCopy25Row" localSheetId="8" hidden="1">#REF!</definedName>
    <definedName name="XRefCopy25Row" hidden="1">#REF!</definedName>
    <definedName name="XRefCopy26" localSheetId="8" hidden="1">#REF!</definedName>
    <definedName name="XRefCopy26" hidden="1">#REF!</definedName>
    <definedName name="XRefCopy26Row" localSheetId="8" hidden="1">#REF!</definedName>
    <definedName name="XRefCopy26Row" hidden="1">#REF!</definedName>
    <definedName name="XRefCopy27" localSheetId="8" hidden="1">#REF!</definedName>
    <definedName name="XRefCopy27" hidden="1">#REF!</definedName>
    <definedName name="XRefCopy28" localSheetId="8" hidden="1">#REF!</definedName>
    <definedName name="XRefCopy28" hidden="1">#REF!</definedName>
    <definedName name="XRefCopy29" localSheetId="8" hidden="1">#REF!</definedName>
    <definedName name="XRefCopy29" hidden="1">#REF!</definedName>
    <definedName name="XRefCopy29Row" localSheetId="8" hidden="1">#REF!</definedName>
    <definedName name="XRefCopy29Row" hidden="1">#REF!</definedName>
    <definedName name="XRefCopy3" localSheetId="8" hidden="1">#REF!</definedName>
    <definedName name="XRefCopy3" hidden="1">#REF!</definedName>
    <definedName name="XRefCopy30" localSheetId="8" hidden="1">#REF!</definedName>
    <definedName name="XRefCopy30" hidden="1">#REF!</definedName>
    <definedName name="XRefCopy30Row" localSheetId="8" hidden="1">#REF!</definedName>
    <definedName name="XRefCopy30Row" hidden="1">#REF!</definedName>
    <definedName name="XRefCopy31" localSheetId="8" hidden="1">#REF!</definedName>
    <definedName name="XRefCopy31" hidden="1">#REF!</definedName>
    <definedName name="XRefCopy31Row" localSheetId="8" hidden="1">#REF!</definedName>
    <definedName name="XRefCopy31Row" hidden="1">#REF!</definedName>
    <definedName name="XRefCopy32" localSheetId="8" hidden="1">#REF!</definedName>
    <definedName name="XRefCopy32" hidden="1">#REF!</definedName>
    <definedName name="XRefCopy33" localSheetId="8" hidden="1">#REF!</definedName>
    <definedName name="XRefCopy33" hidden="1">#REF!</definedName>
    <definedName name="XRefCopy33Row" localSheetId="8" hidden="1">#REF!</definedName>
    <definedName name="XRefCopy33Row" hidden="1">#REF!</definedName>
    <definedName name="XRefCopy34" localSheetId="8" hidden="1">#REF!</definedName>
    <definedName name="XRefCopy34" hidden="1">#REF!</definedName>
    <definedName name="XRefCopy34Row" localSheetId="8" hidden="1">#REF!</definedName>
    <definedName name="XRefCopy34Row" hidden="1">#REF!</definedName>
    <definedName name="XRefCopy35" localSheetId="8" hidden="1">#REF!</definedName>
    <definedName name="XRefCopy35" hidden="1">#REF!</definedName>
    <definedName name="XRefCopy35Row" localSheetId="8" hidden="1">#REF!</definedName>
    <definedName name="XRefCopy35Row" hidden="1">#REF!</definedName>
    <definedName name="XRefCopy36" localSheetId="8" hidden="1">#REF!</definedName>
    <definedName name="XRefCopy36" hidden="1">#REF!</definedName>
    <definedName name="XRefCopy36Row" localSheetId="8" hidden="1">#REF!</definedName>
    <definedName name="XRefCopy36Row" hidden="1">#REF!</definedName>
    <definedName name="XRefCopy37" localSheetId="8" hidden="1">#REF!</definedName>
    <definedName name="XRefCopy37" hidden="1">#REF!</definedName>
    <definedName name="XRefCopy37Row" localSheetId="8" hidden="1">#REF!</definedName>
    <definedName name="XRefCopy37Row" hidden="1">#REF!</definedName>
    <definedName name="XRefCopy38" localSheetId="8" hidden="1">#REF!</definedName>
    <definedName name="XRefCopy38" hidden="1">#REF!</definedName>
    <definedName name="XRefCopy38Row" localSheetId="8" hidden="1">#REF!</definedName>
    <definedName name="XRefCopy38Row" hidden="1">#REF!</definedName>
    <definedName name="XRefCopy39" localSheetId="8" hidden="1">#REF!</definedName>
    <definedName name="XRefCopy39" hidden="1">#REF!</definedName>
    <definedName name="XRefCopy39Row" localSheetId="8" hidden="1">#REF!</definedName>
    <definedName name="XRefCopy39Row" hidden="1">#REF!</definedName>
    <definedName name="XRefCopy3Row" localSheetId="8" hidden="1">#REF!</definedName>
    <definedName name="XRefCopy3Row" hidden="1">#REF!</definedName>
    <definedName name="XRefCopy4" localSheetId="8" hidden="1">#REF!</definedName>
    <definedName name="XRefCopy4" hidden="1">#REF!</definedName>
    <definedName name="XRefCopy40" localSheetId="8" hidden="1">#REF!</definedName>
    <definedName name="XRefCopy40" hidden="1">#REF!</definedName>
    <definedName name="XRefCopy40Row" localSheetId="8" hidden="1">#REF!</definedName>
    <definedName name="XRefCopy40Row" hidden="1">#REF!</definedName>
    <definedName name="XRefCopy41" localSheetId="8" hidden="1">#REF!</definedName>
    <definedName name="XRefCopy41" hidden="1">#REF!</definedName>
    <definedName name="XRefCopy41Row" localSheetId="8" hidden="1">#REF!</definedName>
    <definedName name="XRefCopy41Row" hidden="1">#REF!</definedName>
    <definedName name="XRefCopy4Row" localSheetId="8" hidden="1">#REF!</definedName>
    <definedName name="XRefCopy4Row" hidden="1">#REF!</definedName>
    <definedName name="XRefCopy5" localSheetId="8" hidden="1">#REF!</definedName>
    <definedName name="XRefCopy5" hidden="1">#REF!</definedName>
    <definedName name="XRefCopy5Row" localSheetId="8" hidden="1">#REF!</definedName>
    <definedName name="XRefCopy5Row" hidden="1">#REF!</definedName>
    <definedName name="XRefCopy6" localSheetId="8" hidden="1">#REF!</definedName>
    <definedName name="XRefCopy6" hidden="1">#REF!</definedName>
    <definedName name="XRefCopy64" localSheetId="8" hidden="1">#REF!</definedName>
    <definedName name="XRefCopy64" hidden="1">#REF!</definedName>
    <definedName name="XRefCopy6Row" localSheetId="8" hidden="1">#REF!</definedName>
    <definedName name="XRefCopy6Row" hidden="1">#REF!</definedName>
    <definedName name="XRefCopy7" localSheetId="8" hidden="1">#REF!</definedName>
    <definedName name="XRefCopy7" hidden="1">#REF!</definedName>
    <definedName name="XRefCopy7Row" localSheetId="8" hidden="1">#REF!</definedName>
    <definedName name="XRefCopy7Row" hidden="1">#REF!</definedName>
    <definedName name="XRefCopy8" localSheetId="8" hidden="1">#REF!</definedName>
    <definedName name="XRefCopy8" hidden="1">#REF!</definedName>
    <definedName name="XRefCopy8Row" localSheetId="8" hidden="1">#REF!</definedName>
    <definedName name="XRefCopy8Row" hidden="1">#REF!</definedName>
    <definedName name="XRefCopy9" localSheetId="8" hidden="1">#REF!</definedName>
    <definedName name="XRefCopy9" hidden="1">#REF!</definedName>
    <definedName name="XRefCopy9Row" localSheetId="8" hidden="1">#REF!</definedName>
    <definedName name="XRefCopy9Row" hidden="1">#REF!</definedName>
    <definedName name="XRefPaste1" localSheetId="10" hidden="1">#REF!</definedName>
    <definedName name="XRefPaste1" localSheetId="8" hidden="1">#REF!</definedName>
    <definedName name="XRefPaste1" localSheetId="11" hidden="1">#REF!</definedName>
    <definedName name="XRefPaste1" hidden="1">#REF!</definedName>
    <definedName name="XRefPaste10Row" localSheetId="10" hidden="1">#REF!</definedName>
    <definedName name="XRefPaste10Row" localSheetId="8" hidden="1">#REF!</definedName>
    <definedName name="XRefPaste10Row" localSheetId="11" hidden="1">#REF!</definedName>
    <definedName name="XRefPaste10Row" hidden="1">#REF!</definedName>
    <definedName name="XRefPaste11" localSheetId="10" hidden="1">#REF!</definedName>
    <definedName name="XRefPaste11" localSheetId="8" hidden="1">#REF!</definedName>
    <definedName name="XRefPaste11" hidden="1">#REF!</definedName>
    <definedName name="XRefPaste11Row" localSheetId="10" hidden="1">#REF!</definedName>
    <definedName name="XRefPaste11Row" localSheetId="8" hidden="1">#REF!</definedName>
    <definedName name="XRefPaste11Row" hidden="1">#REF!</definedName>
    <definedName name="XRefPaste12" localSheetId="8" hidden="1">#REF!</definedName>
    <definedName name="XRefPaste12" hidden="1">#REF!</definedName>
    <definedName name="XRefPaste12Row" localSheetId="8" hidden="1">#REF!</definedName>
    <definedName name="XRefPaste12Row" hidden="1">#REF!</definedName>
    <definedName name="XRefPaste13" localSheetId="8" hidden="1">#REF!</definedName>
    <definedName name="XRefPaste13" hidden="1">#REF!</definedName>
    <definedName name="XRefPaste13Row" localSheetId="8" hidden="1">#REF!</definedName>
    <definedName name="XRefPaste13Row" hidden="1">#REF!</definedName>
    <definedName name="XRefPaste14" localSheetId="8" hidden="1">#REF!</definedName>
    <definedName name="XRefPaste14" hidden="1">#REF!</definedName>
    <definedName name="XRefPaste14Row" localSheetId="8" hidden="1">#REF!</definedName>
    <definedName name="XRefPaste14Row" hidden="1">#REF!</definedName>
    <definedName name="XRefPaste15" localSheetId="8" hidden="1">#REF!</definedName>
    <definedName name="XRefPaste15" hidden="1">#REF!</definedName>
    <definedName name="XRefPaste15Row" localSheetId="8" hidden="1">#REF!</definedName>
    <definedName name="XRefPaste15Row" hidden="1">#REF!</definedName>
    <definedName name="XRefPaste16" localSheetId="8" hidden="1">#REF!</definedName>
    <definedName name="XRefPaste16" hidden="1">#REF!</definedName>
    <definedName name="XRefPaste16Row" localSheetId="8" hidden="1">#REF!</definedName>
    <definedName name="XRefPaste16Row" hidden="1">#REF!</definedName>
    <definedName name="XRefPaste17" localSheetId="8" hidden="1">#REF!</definedName>
    <definedName name="XRefPaste17" hidden="1">#REF!</definedName>
    <definedName name="XRefPaste17Row" localSheetId="8" hidden="1">#REF!</definedName>
    <definedName name="XRefPaste17Row" hidden="1">#REF!</definedName>
    <definedName name="XRefPaste18" localSheetId="8" hidden="1">#REF!</definedName>
    <definedName name="XRefPaste18" hidden="1">#REF!</definedName>
    <definedName name="XRefPaste18Row" localSheetId="8" hidden="1">#REF!</definedName>
    <definedName name="XRefPaste18Row" hidden="1">#REF!</definedName>
    <definedName name="XRefPaste19" localSheetId="8" hidden="1">#REF!</definedName>
    <definedName name="XRefPaste19" hidden="1">#REF!</definedName>
    <definedName name="XRefPaste19Row" localSheetId="8" hidden="1">#REF!</definedName>
    <definedName name="XRefPaste19Row" hidden="1">#REF!</definedName>
    <definedName name="XRefPaste2" localSheetId="8" hidden="1">#REF!</definedName>
    <definedName name="XRefPaste2" hidden="1">#REF!</definedName>
    <definedName name="XRefPaste20" localSheetId="8" hidden="1">#REF!</definedName>
    <definedName name="XRefPaste20" hidden="1">#REF!</definedName>
    <definedName name="XRefPaste20Row" localSheetId="8" hidden="1">#REF!</definedName>
    <definedName name="XRefPaste20Row" hidden="1">#REF!</definedName>
    <definedName name="XRefPaste21" localSheetId="8" hidden="1">#REF!</definedName>
    <definedName name="XRefPaste21" hidden="1">#REF!</definedName>
    <definedName name="XRefPaste21Row" localSheetId="8" hidden="1">#REF!</definedName>
    <definedName name="XRefPaste21Row" hidden="1">#REF!</definedName>
    <definedName name="XRefPaste22" localSheetId="8" hidden="1">#REF!</definedName>
    <definedName name="XRefPaste22" hidden="1">#REF!</definedName>
    <definedName name="XRefPaste22Row" localSheetId="8" hidden="1">#REF!</definedName>
    <definedName name="XRefPaste22Row" hidden="1">#REF!</definedName>
    <definedName name="XRefPaste23" localSheetId="8" hidden="1">#REF!</definedName>
    <definedName name="XRefPaste23" hidden="1">#REF!</definedName>
    <definedName name="XRefPaste23Row" localSheetId="8" hidden="1">#REF!</definedName>
    <definedName name="XRefPaste23Row" hidden="1">#REF!</definedName>
    <definedName name="XRefPaste24" localSheetId="8" hidden="1">#REF!</definedName>
    <definedName name="XRefPaste24" hidden="1">#REF!</definedName>
    <definedName name="XRefPaste24Row" localSheetId="8" hidden="1">#REF!</definedName>
    <definedName name="XRefPaste24Row" hidden="1">#REF!</definedName>
    <definedName name="XRefPaste25" localSheetId="8" hidden="1">#REF!</definedName>
    <definedName name="XRefPaste25" hidden="1">#REF!</definedName>
    <definedName name="XRefPaste25Row" localSheetId="8" hidden="1">#REF!</definedName>
    <definedName name="XRefPaste25Row" hidden="1">#REF!</definedName>
    <definedName name="XRefPaste26" localSheetId="8" hidden="1">#REF!</definedName>
    <definedName name="XRefPaste26" hidden="1">#REF!</definedName>
    <definedName name="XRefPaste26Row" localSheetId="8" hidden="1">#REF!</definedName>
    <definedName name="XRefPaste26Row" hidden="1">#REF!</definedName>
    <definedName name="XRefPaste27" localSheetId="8" hidden="1">#REF!</definedName>
    <definedName name="XRefPaste27" hidden="1">#REF!</definedName>
    <definedName name="XRefPaste27Row" localSheetId="8" hidden="1">#REF!</definedName>
    <definedName name="XRefPaste27Row" hidden="1">#REF!</definedName>
    <definedName name="XRefPaste28" localSheetId="8" hidden="1">#REF!</definedName>
    <definedName name="XRefPaste28" hidden="1">#REF!</definedName>
    <definedName name="XRefPaste28Row" localSheetId="8" hidden="1">#REF!</definedName>
    <definedName name="XRefPaste28Row" hidden="1">#REF!</definedName>
    <definedName name="XRefPaste29" localSheetId="8" hidden="1">#REF!</definedName>
    <definedName name="XRefPaste29" hidden="1">#REF!</definedName>
    <definedName name="XRefPaste29Row" localSheetId="8" hidden="1">#REF!</definedName>
    <definedName name="XRefPaste29Row" hidden="1">#REF!</definedName>
    <definedName name="XRefPaste2Row" localSheetId="8" hidden="1">#REF!</definedName>
    <definedName name="XRefPaste2Row" hidden="1">#REF!</definedName>
    <definedName name="XRefPaste30" localSheetId="8" hidden="1">#REF!</definedName>
    <definedName name="XRefPaste30" hidden="1">#REF!</definedName>
    <definedName name="XRefPaste30Row" localSheetId="8" hidden="1">#REF!</definedName>
    <definedName name="XRefPaste30Row" hidden="1">#REF!</definedName>
    <definedName name="XRefPaste31" localSheetId="8" hidden="1">#REF!</definedName>
    <definedName name="XRefPaste31" hidden="1">#REF!</definedName>
    <definedName name="XRefPaste31Row" localSheetId="8" hidden="1">#REF!</definedName>
    <definedName name="XRefPaste31Row" hidden="1">#REF!</definedName>
    <definedName name="XRefPaste32" localSheetId="8" hidden="1">#REF!</definedName>
    <definedName name="XRefPaste32" hidden="1">#REF!</definedName>
    <definedName name="XRefPaste32Row" localSheetId="8" hidden="1">#REF!</definedName>
    <definedName name="XRefPaste32Row" hidden="1">#REF!</definedName>
    <definedName name="XRefPaste33" localSheetId="8" hidden="1">#REF!</definedName>
    <definedName name="XRefPaste33" hidden="1">#REF!</definedName>
    <definedName name="XRefPaste33Row" localSheetId="8" hidden="1">#REF!</definedName>
    <definedName name="XRefPaste33Row" hidden="1">#REF!</definedName>
    <definedName name="XRefPaste34" localSheetId="8" hidden="1">#REF!</definedName>
    <definedName name="XRefPaste34" hidden="1">#REF!</definedName>
    <definedName name="XRefPaste34Row" localSheetId="8" hidden="1">#REF!</definedName>
    <definedName name="XRefPaste34Row" hidden="1">#REF!</definedName>
    <definedName name="XRefPaste4" localSheetId="8" hidden="1">#REF!</definedName>
    <definedName name="XRefPaste4" hidden="1">#REF!</definedName>
    <definedName name="XRefPaste41Row" localSheetId="10" hidden="1">#REF!</definedName>
    <definedName name="XRefPaste41Row" localSheetId="8" hidden="1">#REF!</definedName>
    <definedName name="XRefPaste41Row" localSheetId="11" hidden="1">#REF!</definedName>
    <definedName name="XRefPaste41Row" hidden="1">#REF!</definedName>
    <definedName name="XRefPaste4Row" localSheetId="10" hidden="1">#REF!</definedName>
    <definedName name="XRefPaste4Row" localSheetId="8" hidden="1">#REF!</definedName>
    <definedName name="XRefPaste4Row" localSheetId="11" hidden="1">#REF!</definedName>
    <definedName name="XRefPaste4Row" hidden="1">#REF!</definedName>
    <definedName name="XRefPaste5" localSheetId="10" hidden="1">#REF!</definedName>
    <definedName name="XRefPaste5" localSheetId="8" hidden="1">#REF!</definedName>
    <definedName name="XRefPaste5" hidden="1">#REF!</definedName>
    <definedName name="XRefPaste5Row" localSheetId="10" hidden="1">#REF!</definedName>
    <definedName name="XRefPaste5Row" localSheetId="8" hidden="1">#REF!</definedName>
    <definedName name="XRefPaste5Row" hidden="1">#REF!</definedName>
    <definedName name="XRefPaste6" localSheetId="8" hidden="1">#REF!</definedName>
    <definedName name="XRefPaste6" hidden="1">#REF!</definedName>
    <definedName name="XRefPaste6Row" localSheetId="8" hidden="1">#REF!</definedName>
    <definedName name="XRefPaste6Row" hidden="1">#REF!</definedName>
    <definedName name="XRefPaste7Row" localSheetId="10" hidden="1">#REF!</definedName>
    <definedName name="XRefPaste7Row" localSheetId="8" hidden="1">#REF!</definedName>
    <definedName name="XRefPaste7Row" localSheetId="11" hidden="1">#REF!</definedName>
    <definedName name="XRefPaste7Row" hidden="1">#REF!</definedName>
    <definedName name="XRefPaste8Row" localSheetId="10" hidden="1">#REF!</definedName>
    <definedName name="XRefPaste8Row" localSheetId="8" hidden="1">#REF!</definedName>
    <definedName name="XRefPaste8Row" localSheetId="11" hidden="1">#REF!</definedName>
    <definedName name="XRefPaste8Row" hidden="1">#REF!</definedName>
    <definedName name="XRefPaste9Row" localSheetId="10" hidden="1">#REF!</definedName>
    <definedName name="XRefPaste9Row" localSheetId="8" hidden="1">#REF!</definedName>
    <definedName name="XRefPaste9Row" localSheetId="11" hidden="1">#REF!</definedName>
    <definedName name="XRefPaste9Row" hidden="1">#REF!</definedName>
    <definedName name="Y" localSheetId="10" hidden="1">#REF!</definedName>
    <definedName name="Y" localSheetId="8" hidden="1">#REF!</definedName>
    <definedName name="Y" localSheetId="11" hidden="1">#REF!</definedName>
    <definedName name="Y" hidden="1">#REF!</definedName>
    <definedName name="yjyjy" localSheetId="10" hidden="1">#REF!</definedName>
    <definedName name="yjyjy" localSheetId="8" hidden="1">#REF!</definedName>
    <definedName name="yjyjy" localSheetId="11" hidden="1">#REF!</definedName>
    <definedName name="yjyjy" hidden="1">#REF!</definedName>
    <definedName name="yy" localSheetId="10" hidden="1">#REF!</definedName>
    <definedName name="yy" localSheetId="8" hidden="1">#REF!</definedName>
    <definedName name="yy" localSheetId="11" hidden="1">#REF!</definedName>
    <definedName name="yy" hidden="1">#REF!</definedName>
    <definedName name="YYYYYYYY" localSheetId="8" hidden="1">#REF!</definedName>
    <definedName name="YYYYYYYY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83" i="6" l="1"/>
  <c r="Y85" i="6"/>
  <c r="T85" i="6"/>
  <c r="O85" i="6"/>
  <c r="J85" i="6"/>
  <c r="E24" i="35" l="1"/>
  <c r="E52" i="35"/>
  <c r="E85" i="6"/>
  <c r="BN77" i="6" l="1"/>
  <c r="BN78" i="6"/>
  <c r="Q60" i="54"/>
  <c r="P60" i="54"/>
  <c r="O60" i="54"/>
  <c r="N60" i="54"/>
  <c r="M60" i="54"/>
  <c r="AN68" i="52" s="1"/>
  <c r="AP68" i="52" s="1"/>
  <c r="AQ68" i="52" s="1"/>
  <c r="L60" i="54"/>
  <c r="AI68" i="52" s="1"/>
  <c r="AK68" i="52" s="1"/>
  <c r="AL68" i="52" s="1"/>
  <c r="K60" i="54"/>
  <c r="AD68" i="52" s="1"/>
  <c r="AF68" i="52" s="1"/>
  <c r="AG68" i="52" s="1"/>
  <c r="J60" i="54"/>
  <c r="I60" i="54"/>
  <c r="H60" i="54"/>
  <c r="G60" i="54"/>
  <c r="F60" i="54"/>
  <c r="Q59" i="54"/>
  <c r="BH67" i="52" s="1"/>
  <c r="BJ67" i="52" s="1"/>
  <c r="BK67" i="52" s="1"/>
  <c r="P59" i="54"/>
  <c r="BC67" i="52" s="1"/>
  <c r="BE67" i="52" s="1"/>
  <c r="BF67" i="52" s="1"/>
  <c r="O59" i="54"/>
  <c r="AX67" i="52" s="1"/>
  <c r="AZ67" i="52" s="1"/>
  <c r="BA67" i="52" s="1"/>
  <c r="N59" i="54"/>
  <c r="M59" i="54"/>
  <c r="L59" i="54"/>
  <c r="K59" i="54"/>
  <c r="J59" i="54"/>
  <c r="Y67" i="52" s="1"/>
  <c r="AA67" i="52" s="1"/>
  <c r="AB67" i="52" s="1"/>
  <c r="I59" i="54"/>
  <c r="H59" i="54"/>
  <c r="G59" i="54"/>
  <c r="F59" i="54"/>
  <c r="Q58" i="54"/>
  <c r="BH66" i="52" s="1"/>
  <c r="BJ66" i="52" s="1"/>
  <c r="BK66" i="52" s="1"/>
  <c r="P58" i="54"/>
  <c r="BC66" i="52" s="1"/>
  <c r="BE66" i="52" s="1"/>
  <c r="BF66" i="52" s="1"/>
  <c r="O58" i="54"/>
  <c r="AX66" i="52" s="1"/>
  <c r="AZ66" i="52" s="1"/>
  <c r="BA66" i="52" s="1"/>
  <c r="N58" i="54"/>
  <c r="M58" i="54"/>
  <c r="L58" i="54"/>
  <c r="K58" i="54"/>
  <c r="J58" i="54"/>
  <c r="Y66" i="52" s="1"/>
  <c r="AA66" i="52" s="1"/>
  <c r="AB66" i="52" s="1"/>
  <c r="I58" i="54"/>
  <c r="T66" i="52" s="1"/>
  <c r="V66" i="52" s="1"/>
  <c r="W66" i="52" s="1"/>
  <c r="H58" i="54"/>
  <c r="O66" i="52" s="1"/>
  <c r="Q66" i="52" s="1"/>
  <c r="R66" i="52" s="1"/>
  <c r="G58" i="54"/>
  <c r="F58" i="54"/>
  <c r="S58" i="54" s="1"/>
  <c r="T58" i="54" s="1"/>
  <c r="Q57" i="54"/>
  <c r="BH65" i="52" s="1"/>
  <c r="BJ65" i="52" s="1"/>
  <c r="BK65" i="52" s="1"/>
  <c r="P57" i="54"/>
  <c r="O57" i="54"/>
  <c r="N57" i="54"/>
  <c r="M57" i="54"/>
  <c r="L57" i="54"/>
  <c r="AI65" i="52" s="1"/>
  <c r="AK65" i="52" s="1"/>
  <c r="AL65" i="52" s="1"/>
  <c r="K57" i="54"/>
  <c r="J57" i="54"/>
  <c r="Y65" i="52" s="1"/>
  <c r="AA65" i="52" s="1"/>
  <c r="AB65" i="52" s="1"/>
  <c r="I57" i="54"/>
  <c r="T65" i="52" s="1"/>
  <c r="V65" i="52" s="1"/>
  <c r="W65" i="52" s="1"/>
  <c r="H57" i="54"/>
  <c r="O65" i="52" s="1"/>
  <c r="Q65" i="52" s="1"/>
  <c r="R65" i="52" s="1"/>
  <c r="G57" i="54"/>
  <c r="J65" i="52" s="1"/>
  <c r="L65" i="52" s="1"/>
  <c r="M65" i="52" s="1"/>
  <c r="F57" i="54"/>
  <c r="S57" i="54" s="1"/>
  <c r="T57" i="54" s="1"/>
  <c r="Q56" i="54"/>
  <c r="P56" i="54"/>
  <c r="BC64" i="52" s="1"/>
  <c r="BE64" i="52" s="1"/>
  <c r="BF64" i="52" s="1"/>
  <c r="O56" i="54"/>
  <c r="N56" i="54"/>
  <c r="M56" i="54"/>
  <c r="L56" i="54"/>
  <c r="K56" i="54"/>
  <c r="AD64" i="52" s="1"/>
  <c r="AF64" i="52" s="1"/>
  <c r="AG64" i="52" s="1"/>
  <c r="J56" i="54"/>
  <c r="Y64" i="52" s="1"/>
  <c r="AA64" i="52" s="1"/>
  <c r="AB64" i="52" s="1"/>
  <c r="I56" i="54"/>
  <c r="T64" i="52" s="1"/>
  <c r="V64" i="52" s="1"/>
  <c r="W64" i="52" s="1"/>
  <c r="H56" i="54"/>
  <c r="O64" i="52" s="1"/>
  <c r="Q64" i="52" s="1"/>
  <c r="R64" i="52" s="1"/>
  <c r="G56" i="54"/>
  <c r="J64" i="52" s="1"/>
  <c r="L64" i="52" s="1"/>
  <c r="M64" i="52" s="1"/>
  <c r="F56" i="54"/>
  <c r="S56" i="54" s="1"/>
  <c r="T56" i="54" s="1"/>
  <c r="Q55" i="54"/>
  <c r="P55" i="54"/>
  <c r="O55" i="54"/>
  <c r="N55" i="54"/>
  <c r="M55" i="54"/>
  <c r="L55" i="54"/>
  <c r="K55" i="54"/>
  <c r="J55" i="54"/>
  <c r="I55" i="54"/>
  <c r="H55" i="54"/>
  <c r="G55" i="54"/>
  <c r="F55" i="54"/>
  <c r="S55" i="54" s="1"/>
  <c r="T55" i="54" s="1"/>
  <c r="N54" i="54"/>
  <c r="N61" i="54" s="1"/>
  <c r="M54" i="54"/>
  <c r="M61" i="54" s="1"/>
  <c r="L54" i="54"/>
  <c r="L61" i="54" s="1"/>
  <c r="K54" i="54"/>
  <c r="K61" i="54" s="1"/>
  <c r="Q53" i="54"/>
  <c r="BH61" i="52" s="1"/>
  <c r="BJ61" i="52" s="1"/>
  <c r="BK61" i="52" s="1"/>
  <c r="P53" i="54"/>
  <c r="BC61" i="52" s="1"/>
  <c r="BE61" i="52" s="1"/>
  <c r="BF61" i="52" s="1"/>
  <c r="O53" i="54"/>
  <c r="AX61" i="52" s="1"/>
  <c r="AZ61" i="52" s="1"/>
  <c r="BA61" i="52" s="1"/>
  <c r="N53" i="54"/>
  <c r="M53" i="54"/>
  <c r="L53" i="54"/>
  <c r="K53" i="54"/>
  <c r="AD61" i="52" s="1"/>
  <c r="AF61" i="52" s="1"/>
  <c r="AG61" i="52" s="1"/>
  <c r="J53" i="54"/>
  <c r="I53" i="54"/>
  <c r="H53" i="54"/>
  <c r="G53" i="54"/>
  <c r="J61" i="52" s="1"/>
  <c r="L61" i="52" s="1"/>
  <c r="M61" i="52" s="1"/>
  <c r="F53" i="54"/>
  <c r="E61" i="52" s="1"/>
  <c r="G61" i="52" s="1"/>
  <c r="H61" i="52" s="1"/>
  <c r="Q52" i="54"/>
  <c r="BH60" i="52" s="1"/>
  <c r="BJ60" i="52" s="1"/>
  <c r="BK60" i="52" s="1"/>
  <c r="P52" i="54"/>
  <c r="O52" i="54"/>
  <c r="N52" i="54"/>
  <c r="M52" i="54"/>
  <c r="L52" i="54"/>
  <c r="K52" i="54"/>
  <c r="J52" i="54"/>
  <c r="I52" i="54"/>
  <c r="H52" i="54"/>
  <c r="H54" i="54" s="1"/>
  <c r="H61" i="54" s="1"/>
  <c r="G52" i="54"/>
  <c r="J60" i="52" s="1"/>
  <c r="L60" i="52" s="1"/>
  <c r="M60" i="52" s="1"/>
  <c r="F52" i="54"/>
  <c r="E60" i="52" s="1"/>
  <c r="G60" i="52" s="1"/>
  <c r="H60" i="52" s="1"/>
  <c r="T51" i="54"/>
  <c r="S51" i="54"/>
  <c r="K51" i="54"/>
  <c r="J51" i="54"/>
  <c r="I51" i="54"/>
  <c r="I54" i="54" s="1"/>
  <c r="I61" i="54" s="1"/>
  <c r="H51" i="54"/>
  <c r="G51" i="54"/>
  <c r="J59" i="52" s="1"/>
  <c r="L59" i="52" s="1"/>
  <c r="M59" i="52" s="1"/>
  <c r="F51" i="54"/>
  <c r="Q50" i="54"/>
  <c r="Q54" i="54" s="1"/>
  <c r="Q61" i="54" s="1"/>
  <c r="P50" i="54"/>
  <c r="P54" i="54" s="1"/>
  <c r="P61" i="54" s="1"/>
  <c r="O50" i="54"/>
  <c r="N50" i="54"/>
  <c r="M50" i="54"/>
  <c r="L50" i="54"/>
  <c r="K50" i="54"/>
  <c r="J50" i="54"/>
  <c r="J54" i="54" s="1"/>
  <c r="J61" i="54" s="1"/>
  <c r="I50" i="54"/>
  <c r="H50" i="54"/>
  <c r="G50" i="54"/>
  <c r="G54" i="54" s="1"/>
  <c r="G61" i="54" s="1"/>
  <c r="F50" i="54"/>
  <c r="F54" i="54" s="1"/>
  <c r="F61" i="54" s="1"/>
  <c r="D50" i="54"/>
  <c r="D54" i="54" s="1"/>
  <c r="D61" i="54" s="1"/>
  <c r="D48" i="54"/>
  <c r="S47" i="54"/>
  <c r="T47" i="54" s="1"/>
  <c r="T46" i="54"/>
  <c r="S46" i="54"/>
  <c r="S45" i="54"/>
  <c r="T45" i="54" s="1"/>
  <c r="S44" i="54"/>
  <c r="T44" i="54" s="1"/>
  <c r="S43" i="54"/>
  <c r="T43" i="54" s="1"/>
  <c r="S42" i="54"/>
  <c r="S48" i="54" s="1"/>
  <c r="T48" i="54" s="1"/>
  <c r="D39" i="54"/>
  <c r="S38" i="54"/>
  <c r="T38" i="54" s="1"/>
  <c r="S37" i="54"/>
  <c r="T37" i="54" s="1"/>
  <c r="S36" i="54"/>
  <c r="T36" i="54" s="1"/>
  <c r="S35" i="54"/>
  <c r="T35" i="54" s="1"/>
  <c r="T34" i="54"/>
  <c r="S34" i="54"/>
  <c r="S33" i="54"/>
  <c r="S39" i="54" s="1"/>
  <c r="T39" i="54" s="1"/>
  <c r="D30" i="54"/>
  <c r="S29" i="54"/>
  <c r="T29" i="54" s="1"/>
  <c r="S28" i="54"/>
  <c r="T28" i="54" s="1"/>
  <c r="S27" i="54"/>
  <c r="T27" i="54" s="1"/>
  <c r="S26" i="54"/>
  <c r="T26" i="54" s="1"/>
  <c r="T25" i="54"/>
  <c r="S25" i="54"/>
  <c r="S24" i="54"/>
  <c r="D21" i="54"/>
  <c r="S20" i="54"/>
  <c r="T20" i="54" s="1"/>
  <c r="T19" i="54"/>
  <c r="S19" i="54"/>
  <c r="S18" i="54"/>
  <c r="T18" i="54" s="1"/>
  <c r="S17" i="54"/>
  <c r="T17" i="54" s="1"/>
  <c r="S16" i="54"/>
  <c r="T16" i="54" s="1"/>
  <c r="S15" i="54"/>
  <c r="D12" i="54"/>
  <c r="S11" i="54"/>
  <c r="T11" i="54" s="1"/>
  <c r="T10" i="54"/>
  <c r="S10" i="54"/>
  <c r="S9" i="54"/>
  <c r="T9" i="54" s="1"/>
  <c r="S8" i="54"/>
  <c r="T8" i="54" s="1"/>
  <c r="T7" i="54"/>
  <c r="S7" i="54"/>
  <c r="S6" i="54"/>
  <c r="T6" i="54" s="1"/>
  <c r="P75" i="53"/>
  <c r="O75" i="53"/>
  <c r="N75" i="53"/>
  <c r="M75" i="53"/>
  <c r="K75" i="53"/>
  <c r="J75" i="53"/>
  <c r="I75" i="53"/>
  <c r="H75" i="53"/>
  <c r="G75" i="53"/>
  <c r="F75" i="53"/>
  <c r="D75" i="53"/>
  <c r="Q75" i="53" s="1"/>
  <c r="AD73" i="53"/>
  <c r="AC73" i="53"/>
  <c r="AB73" i="53"/>
  <c r="AA73" i="53"/>
  <c r="Z73" i="53"/>
  <c r="Y73" i="53"/>
  <c r="X73" i="53"/>
  <c r="W73" i="53"/>
  <c r="V73" i="53"/>
  <c r="U73" i="53"/>
  <c r="T73" i="53"/>
  <c r="S73" i="53"/>
  <c r="AF72" i="53"/>
  <c r="Q72" i="53"/>
  <c r="P72" i="53"/>
  <c r="O72" i="53"/>
  <c r="N72" i="53"/>
  <c r="M72" i="53"/>
  <c r="L72" i="53"/>
  <c r="K72" i="53"/>
  <c r="J72" i="53"/>
  <c r="I72" i="53"/>
  <c r="H72" i="53"/>
  <c r="G72" i="53"/>
  <c r="F72" i="53"/>
  <c r="AG71" i="53"/>
  <c r="AF71" i="53"/>
  <c r="Q71" i="53"/>
  <c r="P71" i="53"/>
  <c r="O71" i="53"/>
  <c r="N71" i="53"/>
  <c r="M71" i="53"/>
  <c r="L71" i="53"/>
  <c r="K71" i="53"/>
  <c r="J71" i="53"/>
  <c r="I71" i="53"/>
  <c r="H71" i="53"/>
  <c r="G71" i="53"/>
  <c r="F71" i="53"/>
  <c r="AF70" i="53"/>
  <c r="AG70" i="53" s="1"/>
  <c r="P70" i="53"/>
  <c r="O70" i="53"/>
  <c r="N70" i="53"/>
  <c r="M70" i="53"/>
  <c r="K70" i="53"/>
  <c r="J70" i="53"/>
  <c r="I70" i="53"/>
  <c r="H70" i="53"/>
  <c r="G70" i="53"/>
  <c r="F70" i="53"/>
  <c r="D70" i="53"/>
  <c r="Q70" i="53" s="1"/>
  <c r="AF69" i="53"/>
  <c r="D69" i="53"/>
  <c r="L69" i="53" s="1"/>
  <c r="Y65" i="53"/>
  <c r="W65" i="53"/>
  <c r="V65" i="53"/>
  <c r="U65" i="53"/>
  <c r="T65" i="53"/>
  <c r="D65" i="53"/>
  <c r="S65" i="53" s="1"/>
  <c r="AC64" i="53"/>
  <c r="AA64" i="53"/>
  <c r="Z64" i="53"/>
  <c r="Y64" i="53"/>
  <c r="X64" i="53"/>
  <c r="V64" i="53"/>
  <c r="T64" i="53"/>
  <c r="S64" i="53"/>
  <c r="D64" i="53"/>
  <c r="W64" i="53" s="1"/>
  <c r="D63" i="53"/>
  <c r="AC62" i="53"/>
  <c r="AA62" i="53"/>
  <c r="Z62" i="53"/>
  <c r="Y62" i="53"/>
  <c r="X62" i="53"/>
  <c r="V62" i="53"/>
  <c r="U62" i="53"/>
  <c r="T62" i="53"/>
  <c r="S62" i="53"/>
  <c r="D62" i="53"/>
  <c r="AD62" i="53" s="1"/>
  <c r="AB61" i="53"/>
  <c r="Z61" i="53"/>
  <c r="Y61" i="53"/>
  <c r="X61" i="53"/>
  <c r="W61" i="53"/>
  <c r="U61" i="53"/>
  <c r="S61" i="53"/>
  <c r="D61" i="53"/>
  <c r="V61" i="53" s="1"/>
  <c r="AC60" i="53"/>
  <c r="AB60" i="53"/>
  <c r="AA60" i="53"/>
  <c r="T60" i="53"/>
  <c r="D60" i="53"/>
  <c r="Z60" i="53" s="1"/>
  <c r="AC59" i="53"/>
  <c r="AA59" i="53"/>
  <c r="Z59" i="53"/>
  <c r="Y59" i="53"/>
  <c r="X59" i="53"/>
  <c r="V59" i="53"/>
  <c r="U59" i="53"/>
  <c r="T59" i="53"/>
  <c r="S59" i="53"/>
  <c r="D59" i="53"/>
  <c r="AD59" i="53" s="1"/>
  <c r="AC58" i="53"/>
  <c r="AB58" i="53"/>
  <c r="Z58" i="53"/>
  <c r="Y58" i="53"/>
  <c r="X58" i="53"/>
  <c r="W58" i="53"/>
  <c r="U58" i="53"/>
  <c r="S58" i="53"/>
  <c r="D58" i="53"/>
  <c r="V58" i="53" s="1"/>
  <c r="AC57" i="53"/>
  <c r="AB57" i="53"/>
  <c r="AA57" i="53"/>
  <c r="T57" i="53"/>
  <c r="D57" i="53"/>
  <c r="Z57" i="53" s="1"/>
  <c r="AC56" i="53"/>
  <c r="AA56" i="53"/>
  <c r="Z56" i="53"/>
  <c r="Y56" i="53"/>
  <c r="X56" i="53"/>
  <c r="V56" i="53"/>
  <c r="U56" i="53"/>
  <c r="T56" i="53"/>
  <c r="S56" i="53"/>
  <c r="D56" i="53"/>
  <c r="AD56" i="53" s="1"/>
  <c r="AC52" i="53"/>
  <c r="AB52" i="53"/>
  <c r="AA52" i="53"/>
  <c r="Z52" i="53"/>
  <c r="Y52" i="53"/>
  <c r="X52" i="53"/>
  <c r="V52" i="53"/>
  <c r="U52" i="53"/>
  <c r="T52" i="53"/>
  <c r="S52" i="53"/>
  <c r="D52" i="53"/>
  <c r="W52" i="53" s="1"/>
  <c r="AD51" i="53"/>
  <c r="D51" i="53"/>
  <c r="AA50" i="53"/>
  <c r="Y50" i="53"/>
  <c r="X50" i="53"/>
  <c r="W50" i="53"/>
  <c r="V50" i="53"/>
  <c r="T50" i="53"/>
  <c r="D50" i="53"/>
  <c r="U50" i="53" s="1"/>
  <c r="AF49" i="53"/>
  <c r="AG49" i="53" s="1"/>
  <c r="AC49" i="53"/>
  <c r="AB49" i="53"/>
  <c r="AA49" i="53"/>
  <c r="Z49" i="53"/>
  <c r="Y49" i="53"/>
  <c r="X49" i="53"/>
  <c r="W49" i="53"/>
  <c r="V49" i="53"/>
  <c r="U49" i="53"/>
  <c r="T49" i="53"/>
  <c r="S49" i="53"/>
  <c r="D49" i="53"/>
  <c r="AD49" i="53" s="1"/>
  <c r="AC44" i="53"/>
  <c r="AB44" i="53"/>
  <c r="AA44" i="53"/>
  <c r="Z44" i="53"/>
  <c r="X44" i="53"/>
  <c r="W44" i="53"/>
  <c r="V44" i="53"/>
  <c r="U44" i="53"/>
  <c r="T44" i="53"/>
  <c r="S44" i="53"/>
  <c r="D44" i="53"/>
  <c r="AD44" i="53" s="1"/>
  <c r="AD42" i="53"/>
  <c r="D42" i="53"/>
  <c r="AB42" i="53" s="1"/>
  <c r="Y41" i="53"/>
  <c r="W41" i="53"/>
  <c r="V41" i="53"/>
  <c r="U41" i="53"/>
  <c r="T41" i="53"/>
  <c r="D41" i="53"/>
  <c r="S41" i="53" s="1"/>
  <c r="D39" i="53"/>
  <c r="AD39" i="53" s="1"/>
  <c r="AC38" i="53"/>
  <c r="AA38" i="53"/>
  <c r="Z38" i="53"/>
  <c r="Y38" i="53"/>
  <c r="X38" i="53"/>
  <c r="V38" i="53"/>
  <c r="U38" i="53"/>
  <c r="T38" i="53"/>
  <c r="S38" i="53"/>
  <c r="D38" i="53"/>
  <c r="AD38" i="53" s="1"/>
  <c r="AB37" i="53"/>
  <c r="Z37" i="53"/>
  <c r="Y37" i="53"/>
  <c r="X37" i="53"/>
  <c r="W37" i="53"/>
  <c r="U37" i="53"/>
  <c r="S37" i="53"/>
  <c r="D37" i="53"/>
  <c r="V37" i="53" s="1"/>
  <c r="AD36" i="53"/>
  <c r="AC36" i="53"/>
  <c r="D36" i="53"/>
  <c r="AA36" i="53" s="1"/>
  <c r="AC35" i="53"/>
  <c r="AA35" i="53"/>
  <c r="Z35" i="53"/>
  <c r="Y35" i="53"/>
  <c r="X35" i="53"/>
  <c r="V35" i="53"/>
  <c r="U35" i="53"/>
  <c r="T35" i="53"/>
  <c r="S35" i="53"/>
  <c r="D35" i="53"/>
  <c r="AD35" i="53" s="1"/>
  <c r="AB34" i="53"/>
  <c r="Z34" i="53"/>
  <c r="Y34" i="53"/>
  <c r="X34" i="53"/>
  <c r="W34" i="53"/>
  <c r="U34" i="53"/>
  <c r="S34" i="53"/>
  <c r="D34" i="53"/>
  <c r="V34" i="53" s="1"/>
  <c r="D33" i="53"/>
  <c r="AB33" i="53" s="1"/>
  <c r="AC32" i="53"/>
  <c r="AA32" i="53"/>
  <c r="Z32" i="53"/>
  <c r="Y32" i="53"/>
  <c r="X32" i="53"/>
  <c r="V32" i="53"/>
  <c r="U32" i="53"/>
  <c r="T32" i="53"/>
  <c r="S32" i="53"/>
  <c r="D32" i="53"/>
  <c r="AD32" i="53" s="1"/>
  <c r="AB31" i="53"/>
  <c r="Z31" i="53"/>
  <c r="Y31" i="53"/>
  <c r="X31" i="53"/>
  <c r="W31" i="53"/>
  <c r="U31" i="53"/>
  <c r="S31" i="53"/>
  <c r="D31" i="53"/>
  <c r="V31" i="53" s="1"/>
  <c r="D30" i="53"/>
  <c r="AC29" i="53"/>
  <c r="AA29" i="53"/>
  <c r="Z29" i="53"/>
  <c r="Y29" i="53"/>
  <c r="X29" i="53"/>
  <c r="V29" i="53"/>
  <c r="U29" i="53"/>
  <c r="T29" i="53"/>
  <c r="S29" i="53"/>
  <c r="D29" i="53"/>
  <c r="AD29" i="53" s="1"/>
  <c r="AF28" i="53"/>
  <c r="AG28" i="53" s="1"/>
  <c r="D26" i="53"/>
  <c r="AD25" i="53"/>
  <c r="AC25" i="53"/>
  <c r="AB25" i="53"/>
  <c r="D25" i="53"/>
  <c r="S25" i="53" s="1"/>
  <c r="Y24" i="53"/>
  <c r="W24" i="53"/>
  <c r="V24" i="53"/>
  <c r="U24" i="53"/>
  <c r="T24" i="53"/>
  <c r="D24" i="53"/>
  <c r="S24" i="53" s="1"/>
  <c r="AC23" i="53"/>
  <c r="AA23" i="53"/>
  <c r="Z23" i="53"/>
  <c r="Y23" i="53"/>
  <c r="X23" i="53"/>
  <c r="V23" i="53"/>
  <c r="T23" i="53"/>
  <c r="D23" i="53"/>
  <c r="W23" i="53" s="1"/>
  <c r="AD22" i="53"/>
  <c r="AC22" i="53"/>
  <c r="AB22" i="53"/>
  <c r="D22" i="53"/>
  <c r="S22" i="53" s="1"/>
  <c r="AB17" i="53"/>
  <c r="Z17" i="53"/>
  <c r="Y17" i="53"/>
  <c r="X17" i="53"/>
  <c r="W17" i="53"/>
  <c r="U17" i="53"/>
  <c r="S17" i="53"/>
  <c r="D17" i="53"/>
  <c r="V17" i="53" s="1"/>
  <c r="AD16" i="53"/>
  <c r="AC16" i="53"/>
  <c r="AB16" i="53"/>
  <c r="AA16" i="53"/>
  <c r="T16" i="53"/>
  <c r="D16" i="53"/>
  <c r="AC15" i="53"/>
  <c r="AA15" i="53"/>
  <c r="Z15" i="53"/>
  <c r="Y15" i="53"/>
  <c r="X15" i="53"/>
  <c r="V15" i="53"/>
  <c r="U15" i="53"/>
  <c r="T15" i="53"/>
  <c r="S15" i="53"/>
  <c r="D15" i="53"/>
  <c r="AD15" i="53" s="1"/>
  <c r="AB14" i="53"/>
  <c r="Z14" i="53"/>
  <c r="Y14" i="53"/>
  <c r="X14" i="53"/>
  <c r="W14" i="53"/>
  <c r="U14" i="53"/>
  <c r="S14" i="53"/>
  <c r="D14" i="53"/>
  <c r="V14" i="53" s="1"/>
  <c r="AD13" i="53"/>
  <c r="T13" i="53"/>
  <c r="D13" i="53"/>
  <c r="AC8" i="53"/>
  <c r="AA8" i="53"/>
  <c r="Z8" i="53"/>
  <c r="Y8" i="53"/>
  <c r="X8" i="53"/>
  <c r="V8" i="53"/>
  <c r="T8" i="53"/>
  <c r="D8" i="53"/>
  <c r="W8" i="53" s="1"/>
  <c r="B8" i="53"/>
  <c r="BC15" i="6" s="1"/>
  <c r="BE15" i="6" s="1"/>
  <c r="BF15" i="6" s="1"/>
  <c r="D7" i="53"/>
  <c r="AC7" i="53" s="1"/>
  <c r="B7" i="53"/>
  <c r="AA6" i="53"/>
  <c r="Y6" i="53"/>
  <c r="X6" i="53"/>
  <c r="AD13" i="6" s="1"/>
  <c r="AF13" i="6" s="1"/>
  <c r="AG13" i="6" s="1"/>
  <c r="W6" i="53"/>
  <c r="Y13" i="6" s="1"/>
  <c r="AA13" i="6" s="1"/>
  <c r="AB13" i="6" s="1"/>
  <c r="V6" i="53"/>
  <c r="T6" i="53"/>
  <c r="D6" i="53"/>
  <c r="U6" i="53" s="1"/>
  <c r="O13" i="6" s="1"/>
  <c r="P29" i="55"/>
  <c r="O29" i="55"/>
  <c r="N29" i="55"/>
  <c r="M29" i="55"/>
  <c r="L29" i="55"/>
  <c r="K29" i="55"/>
  <c r="J29" i="55"/>
  <c r="I29" i="55"/>
  <c r="H29" i="55"/>
  <c r="G29" i="55"/>
  <c r="F29" i="55"/>
  <c r="E29" i="55"/>
  <c r="Q28" i="55"/>
  <c r="Q27" i="55"/>
  <c r="Q29" i="55" s="1"/>
  <c r="Q26" i="55"/>
  <c r="Q25" i="55"/>
  <c r="Q24" i="55"/>
  <c r="Q23" i="55"/>
  <c r="Q22" i="55"/>
  <c r="P18" i="55"/>
  <c r="O18" i="55"/>
  <c r="N18" i="55"/>
  <c r="M18" i="55"/>
  <c r="L18" i="55"/>
  <c r="K18" i="55"/>
  <c r="J18" i="55"/>
  <c r="I18" i="55"/>
  <c r="H18" i="55"/>
  <c r="G18" i="55"/>
  <c r="F18" i="55"/>
  <c r="E18" i="55"/>
  <c r="Q17" i="55"/>
  <c r="Q16" i="55"/>
  <c r="Q15" i="55"/>
  <c r="Q14" i="55"/>
  <c r="Q13" i="55"/>
  <c r="Q12" i="55"/>
  <c r="Q18" i="55" s="1"/>
  <c r="Q11" i="55"/>
  <c r="C5" i="55"/>
  <c r="G60" i="56"/>
  <c r="F60" i="56"/>
  <c r="F44" i="56"/>
  <c r="G44" i="56" s="1"/>
  <c r="F28" i="56"/>
  <c r="G28" i="56" s="1"/>
  <c r="F12" i="56"/>
  <c r="G12" i="56" s="1"/>
  <c r="C5" i="56"/>
  <c r="B5" i="56"/>
  <c r="BI81" i="6"/>
  <c r="BD81" i="6"/>
  <c r="AY81" i="6"/>
  <c r="AT81" i="6"/>
  <c r="AO81" i="6"/>
  <c r="AJ81" i="6"/>
  <c r="AE81" i="6"/>
  <c r="Z81" i="6"/>
  <c r="U81" i="6"/>
  <c r="P81" i="6"/>
  <c r="K81" i="6"/>
  <c r="F81" i="6"/>
  <c r="BN80" i="6"/>
  <c r="BN79" i="6"/>
  <c r="H77" i="6"/>
  <c r="F77" i="6"/>
  <c r="G77" i="6" s="1"/>
  <c r="Z74" i="6"/>
  <c r="BN73" i="6"/>
  <c r="BN72" i="6"/>
  <c r="BI70" i="6"/>
  <c r="BD70" i="6"/>
  <c r="AY70" i="6"/>
  <c r="AT70" i="6"/>
  <c r="AO70" i="6"/>
  <c r="AJ70" i="6"/>
  <c r="AJ74" i="6" s="1"/>
  <c r="AE70" i="6"/>
  <c r="Z70" i="6"/>
  <c r="U70" i="6"/>
  <c r="U74" i="6" s="1"/>
  <c r="P70" i="6"/>
  <c r="K70" i="6"/>
  <c r="F70" i="6"/>
  <c r="BN69" i="6"/>
  <c r="BN68" i="6"/>
  <c r="BN67" i="6"/>
  <c r="BN66" i="6"/>
  <c r="BN65" i="6"/>
  <c r="BN64" i="6"/>
  <c r="BN63" i="6"/>
  <c r="BI60" i="6"/>
  <c r="BI74" i="6" s="1"/>
  <c r="BD60" i="6"/>
  <c r="BD74" i="6" s="1"/>
  <c r="AY60" i="6"/>
  <c r="AY74" i="6" s="1"/>
  <c r="AT60" i="6"/>
  <c r="AO60" i="6"/>
  <c r="AO74" i="6" s="1"/>
  <c r="AJ60" i="6"/>
  <c r="AE60" i="6"/>
  <c r="Z60" i="6"/>
  <c r="U60" i="6"/>
  <c r="P60" i="6"/>
  <c r="P74" i="6" s="1"/>
  <c r="K60" i="6"/>
  <c r="F60" i="6"/>
  <c r="BN59" i="6"/>
  <c r="BN58" i="6"/>
  <c r="BN57" i="6"/>
  <c r="BN56" i="6"/>
  <c r="P53" i="6"/>
  <c r="BN52" i="6"/>
  <c r="AT51" i="6"/>
  <c r="AT53" i="6" s="1"/>
  <c r="AO51" i="6"/>
  <c r="AO53" i="6" s="1"/>
  <c r="U51" i="6"/>
  <c r="U53" i="6" s="1"/>
  <c r="BN50" i="6"/>
  <c r="BN49" i="6"/>
  <c r="BI47" i="6"/>
  <c r="BD47" i="6"/>
  <c r="AY47" i="6"/>
  <c r="AT47" i="6"/>
  <c r="AO47" i="6"/>
  <c r="AJ47" i="6"/>
  <c r="AE47" i="6"/>
  <c r="Z47" i="6"/>
  <c r="U47" i="6"/>
  <c r="P47" i="6"/>
  <c r="P51" i="6" s="1"/>
  <c r="K47" i="6"/>
  <c r="F47" i="6"/>
  <c r="BN46" i="6"/>
  <c r="BN45" i="6"/>
  <c r="BN44" i="6"/>
  <c r="BN43" i="6"/>
  <c r="BN42" i="6"/>
  <c r="BN41" i="6"/>
  <c r="BN40" i="6"/>
  <c r="BN39" i="6"/>
  <c r="BN38" i="6"/>
  <c r="BN37" i="6"/>
  <c r="BN36" i="6"/>
  <c r="BI33" i="6"/>
  <c r="BD33" i="6"/>
  <c r="BD51" i="6" s="1"/>
  <c r="BD53" i="6" s="1"/>
  <c r="AY33" i="6"/>
  <c r="AY51" i="6" s="1"/>
  <c r="AY53" i="6" s="1"/>
  <c r="AT33" i="6"/>
  <c r="AO33" i="6"/>
  <c r="AJ33" i="6"/>
  <c r="AJ51" i="6" s="1"/>
  <c r="AJ53" i="6" s="1"/>
  <c r="AE33" i="6"/>
  <c r="Z33" i="6"/>
  <c r="Z51" i="6" s="1"/>
  <c r="Z53" i="6" s="1"/>
  <c r="U33" i="6"/>
  <c r="P33" i="6"/>
  <c r="K33" i="6"/>
  <c r="K51" i="6" s="1"/>
  <c r="K53" i="6" s="1"/>
  <c r="F33" i="6"/>
  <c r="F51" i="6" s="1"/>
  <c r="F53" i="6" s="1"/>
  <c r="BN32" i="6"/>
  <c r="BN31" i="6"/>
  <c r="BN30" i="6"/>
  <c r="BN29" i="6"/>
  <c r="BI25" i="6"/>
  <c r="BD25" i="6"/>
  <c r="AY25" i="6"/>
  <c r="AT25" i="6"/>
  <c r="AO25" i="6"/>
  <c r="AJ25" i="6"/>
  <c r="AE25" i="6"/>
  <c r="Z25" i="6"/>
  <c r="U25" i="6"/>
  <c r="P25" i="6"/>
  <c r="P85" i="6" s="1"/>
  <c r="K25" i="6"/>
  <c r="F25" i="6"/>
  <c r="BN24" i="6"/>
  <c r="BN23" i="6"/>
  <c r="BN22" i="6"/>
  <c r="BN21" i="6"/>
  <c r="BN20" i="6"/>
  <c r="BN25" i="6" s="1"/>
  <c r="K30" i="35" s="1"/>
  <c r="K31" i="35" s="1"/>
  <c r="BI16" i="6"/>
  <c r="BD16" i="6"/>
  <c r="AY16" i="6"/>
  <c r="AT16" i="6"/>
  <c r="AO16" i="6"/>
  <c r="AJ16" i="6"/>
  <c r="AE16" i="6"/>
  <c r="Z16" i="6"/>
  <c r="U16" i="6"/>
  <c r="P16" i="6"/>
  <c r="K16" i="6"/>
  <c r="F16" i="6"/>
  <c r="BN15" i="6"/>
  <c r="AN15" i="6"/>
  <c r="AP15" i="6" s="1"/>
  <c r="AQ15" i="6" s="1"/>
  <c r="Y15" i="6"/>
  <c r="AA15" i="6" s="1"/>
  <c r="AB15" i="6" s="1"/>
  <c r="B15" i="6"/>
  <c r="BN14" i="6"/>
  <c r="BN16" i="6" s="1"/>
  <c r="B14" i="6"/>
  <c r="BN13" i="6"/>
  <c r="AS13" i="6"/>
  <c r="J13" i="6"/>
  <c r="L13" i="6" s="1"/>
  <c r="M13" i="6" s="1"/>
  <c r="BP10" i="6"/>
  <c r="BO10" i="6"/>
  <c r="BN10" i="6"/>
  <c r="P10" i="6"/>
  <c r="M10" i="6"/>
  <c r="K10" i="6"/>
  <c r="J10" i="6"/>
  <c r="H10" i="6"/>
  <c r="G10" i="6"/>
  <c r="F10" i="6"/>
  <c r="E10" i="6"/>
  <c r="BM9" i="6"/>
  <c r="O9" i="6"/>
  <c r="J9" i="6"/>
  <c r="E9" i="6"/>
  <c r="O8" i="6"/>
  <c r="R10" i="6" s="1"/>
  <c r="J8" i="6"/>
  <c r="L10" i="6" s="1"/>
  <c r="C5" i="6"/>
  <c r="A1" i="6"/>
  <c r="BN68" i="52"/>
  <c r="BM68" i="52"/>
  <c r="J23" i="35" s="1"/>
  <c r="BH68" i="52"/>
  <c r="BJ68" i="52" s="1"/>
  <c r="BK68" i="52" s="1"/>
  <c r="BC68" i="52"/>
  <c r="BE68" i="52" s="1"/>
  <c r="BF68" i="52" s="1"/>
  <c r="AX68" i="52"/>
  <c r="AZ68" i="52" s="1"/>
  <c r="BA68" i="52" s="1"/>
  <c r="AS68" i="52"/>
  <c r="AU68" i="52" s="1"/>
  <c r="AV68" i="52" s="1"/>
  <c r="Y68" i="52"/>
  <c r="AA68" i="52" s="1"/>
  <c r="AB68" i="52" s="1"/>
  <c r="T68" i="52"/>
  <c r="V68" i="52" s="1"/>
  <c r="W68" i="52" s="1"/>
  <c r="O68" i="52"/>
  <c r="Q68" i="52" s="1"/>
  <c r="R68" i="52" s="1"/>
  <c r="J68" i="52"/>
  <c r="L68" i="52" s="1"/>
  <c r="M68" i="52" s="1"/>
  <c r="E68" i="52"/>
  <c r="G68" i="52" s="1"/>
  <c r="H68" i="52" s="1"/>
  <c r="BN67" i="52"/>
  <c r="BM67" i="52"/>
  <c r="AS67" i="52"/>
  <c r="AU67" i="52" s="1"/>
  <c r="AV67" i="52" s="1"/>
  <c r="AN67" i="52"/>
  <c r="AP67" i="52" s="1"/>
  <c r="AQ67" i="52" s="1"/>
  <c r="AK67" i="52"/>
  <c r="AL67" i="52" s="1"/>
  <c r="AI67" i="52"/>
  <c r="AD67" i="52"/>
  <c r="AF67" i="52" s="1"/>
  <c r="AG67" i="52" s="1"/>
  <c r="T67" i="52"/>
  <c r="V67" i="52" s="1"/>
  <c r="W67" i="52" s="1"/>
  <c r="O67" i="52"/>
  <c r="Q67" i="52" s="1"/>
  <c r="R67" i="52" s="1"/>
  <c r="J67" i="52"/>
  <c r="L67" i="52" s="1"/>
  <c r="M67" i="52" s="1"/>
  <c r="E67" i="52"/>
  <c r="G67" i="52" s="1"/>
  <c r="H67" i="52" s="1"/>
  <c r="BN66" i="52"/>
  <c r="BM66" i="52"/>
  <c r="J21" i="35" s="1"/>
  <c r="AS66" i="52"/>
  <c r="AU66" i="52" s="1"/>
  <c r="AV66" i="52" s="1"/>
  <c r="AN66" i="52"/>
  <c r="AP66" i="52" s="1"/>
  <c r="AQ66" i="52" s="1"/>
  <c r="AI66" i="52"/>
  <c r="AK66" i="52" s="1"/>
  <c r="AL66" i="52" s="1"/>
  <c r="AD66" i="52"/>
  <c r="AF66" i="52" s="1"/>
  <c r="AG66" i="52" s="1"/>
  <c r="J66" i="52"/>
  <c r="L66" i="52" s="1"/>
  <c r="M66" i="52" s="1"/>
  <c r="E66" i="52"/>
  <c r="G66" i="52" s="1"/>
  <c r="H66" i="52" s="1"/>
  <c r="BO65" i="52"/>
  <c r="BP65" i="52" s="1"/>
  <c r="BN65" i="52"/>
  <c r="BM65" i="52"/>
  <c r="BC65" i="52"/>
  <c r="BE65" i="52" s="1"/>
  <c r="BF65" i="52" s="1"/>
  <c r="AX65" i="52"/>
  <c r="AZ65" i="52" s="1"/>
  <c r="BA65" i="52" s="1"/>
  <c r="AS65" i="52"/>
  <c r="AU65" i="52" s="1"/>
  <c r="AV65" i="52" s="1"/>
  <c r="AN65" i="52"/>
  <c r="AP65" i="52" s="1"/>
  <c r="AQ65" i="52" s="1"/>
  <c r="AD65" i="52"/>
  <c r="AF65" i="52" s="1"/>
  <c r="AG65" i="52" s="1"/>
  <c r="E65" i="52"/>
  <c r="G65" i="52" s="1"/>
  <c r="H65" i="52" s="1"/>
  <c r="BN64" i="52"/>
  <c r="BM64" i="52"/>
  <c r="BH64" i="52"/>
  <c r="BJ64" i="52" s="1"/>
  <c r="BK64" i="52" s="1"/>
  <c r="AX64" i="52"/>
  <c r="AZ64" i="52" s="1"/>
  <c r="BA64" i="52" s="1"/>
  <c r="AS64" i="52"/>
  <c r="AU64" i="52" s="1"/>
  <c r="AV64" i="52" s="1"/>
  <c r="AN64" i="52"/>
  <c r="AP64" i="52" s="1"/>
  <c r="AQ64" i="52" s="1"/>
  <c r="AI64" i="52"/>
  <c r="AK64" i="52" s="1"/>
  <c r="AL64" i="52" s="1"/>
  <c r="E64" i="52"/>
  <c r="G64" i="52" s="1"/>
  <c r="H64" i="52" s="1"/>
  <c r="BN63" i="52"/>
  <c r="BO63" i="52" s="1"/>
  <c r="BP63" i="52" s="1"/>
  <c r="BM63" i="52"/>
  <c r="BO61" i="52"/>
  <c r="BP61" i="52" s="1"/>
  <c r="BN61" i="52"/>
  <c r="BM61" i="52"/>
  <c r="AS61" i="52"/>
  <c r="AU61" i="52" s="1"/>
  <c r="AV61" i="52" s="1"/>
  <c r="AN61" i="52"/>
  <c r="AP61" i="52" s="1"/>
  <c r="AQ61" i="52" s="1"/>
  <c r="AI61" i="52"/>
  <c r="AK61" i="52" s="1"/>
  <c r="AL61" i="52" s="1"/>
  <c r="Y61" i="52"/>
  <c r="AA61" i="52" s="1"/>
  <c r="AB61" i="52" s="1"/>
  <c r="T61" i="52"/>
  <c r="V61" i="52" s="1"/>
  <c r="W61" i="52" s="1"/>
  <c r="Q61" i="52"/>
  <c r="R61" i="52" s="1"/>
  <c r="O61" i="52"/>
  <c r="BN60" i="52"/>
  <c r="BM60" i="52"/>
  <c r="J15" i="35" s="1"/>
  <c r="BC60" i="52"/>
  <c r="BE60" i="52" s="1"/>
  <c r="BF60" i="52" s="1"/>
  <c r="AX60" i="52"/>
  <c r="AZ60" i="52" s="1"/>
  <c r="BA60" i="52" s="1"/>
  <c r="AS60" i="52"/>
  <c r="AU60" i="52" s="1"/>
  <c r="AV60" i="52" s="1"/>
  <c r="AN60" i="52"/>
  <c r="AP60" i="52" s="1"/>
  <c r="AQ60" i="52" s="1"/>
  <c r="AI60" i="52"/>
  <c r="AK60" i="52" s="1"/>
  <c r="AL60" i="52" s="1"/>
  <c r="AD60" i="52"/>
  <c r="AF60" i="52" s="1"/>
  <c r="AG60" i="52" s="1"/>
  <c r="Y60" i="52"/>
  <c r="AA60" i="52" s="1"/>
  <c r="AB60" i="52" s="1"/>
  <c r="T60" i="52"/>
  <c r="V60" i="52" s="1"/>
  <c r="W60" i="52" s="1"/>
  <c r="R60" i="52"/>
  <c r="O60" i="52"/>
  <c r="Q60" i="52" s="1"/>
  <c r="BN59" i="52"/>
  <c r="BM59" i="52"/>
  <c r="BH59" i="52"/>
  <c r="BJ59" i="52" s="1"/>
  <c r="BK59" i="52" s="1"/>
  <c r="BC59" i="52"/>
  <c r="BE59" i="52" s="1"/>
  <c r="BF59" i="52" s="1"/>
  <c r="AX59" i="52"/>
  <c r="AZ59" i="52" s="1"/>
  <c r="BA59" i="52" s="1"/>
  <c r="AS59" i="52"/>
  <c r="AU59" i="52" s="1"/>
  <c r="AV59" i="52" s="1"/>
  <c r="AN59" i="52"/>
  <c r="AP59" i="52" s="1"/>
  <c r="AQ59" i="52" s="1"/>
  <c r="AI59" i="52"/>
  <c r="AK59" i="52" s="1"/>
  <c r="AL59" i="52" s="1"/>
  <c r="AD59" i="52"/>
  <c r="AF59" i="52" s="1"/>
  <c r="AG59" i="52" s="1"/>
  <c r="Y59" i="52"/>
  <c r="AA59" i="52" s="1"/>
  <c r="AB59" i="52" s="1"/>
  <c r="T59" i="52"/>
  <c r="V59" i="52" s="1"/>
  <c r="W59" i="52" s="1"/>
  <c r="O59" i="52"/>
  <c r="Q59" i="52" s="1"/>
  <c r="R59" i="52" s="1"/>
  <c r="E59" i="52"/>
  <c r="G59" i="52" s="1"/>
  <c r="H59" i="52" s="1"/>
  <c r="AT58" i="52"/>
  <c r="P58" i="52"/>
  <c r="BI55" i="52"/>
  <c r="BD55" i="52"/>
  <c r="AY55" i="52"/>
  <c r="AT55" i="52"/>
  <c r="AO55" i="52"/>
  <c r="AJ55" i="52"/>
  <c r="AE55" i="52"/>
  <c r="Z55" i="52"/>
  <c r="U55" i="52"/>
  <c r="P55" i="52"/>
  <c r="K55" i="52"/>
  <c r="F55" i="52"/>
  <c r="BN54" i="52"/>
  <c r="BM54" i="52"/>
  <c r="BN53" i="52"/>
  <c r="BM53" i="52"/>
  <c r="BO53" i="52" s="1"/>
  <c r="BP53" i="52" s="1"/>
  <c r="BO52" i="52"/>
  <c r="BP52" i="52" s="1"/>
  <c r="BN52" i="52"/>
  <c r="BM52" i="52"/>
  <c r="BO51" i="52"/>
  <c r="BP51" i="52" s="1"/>
  <c r="BN51" i="52"/>
  <c r="BM51" i="52"/>
  <c r="BN50" i="52"/>
  <c r="BM50" i="52"/>
  <c r="BN49" i="52"/>
  <c r="BM49" i="52"/>
  <c r="BI46" i="52"/>
  <c r="BD46" i="52"/>
  <c r="AY46" i="52"/>
  <c r="AT46" i="52"/>
  <c r="AO46" i="52"/>
  <c r="AJ46" i="52"/>
  <c r="AE46" i="52"/>
  <c r="Z46" i="52"/>
  <c r="U46" i="52"/>
  <c r="P46" i="52"/>
  <c r="K46" i="52"/>
  <c r="F46" i="52"/>
  <c r="BN45" i="52"/>
  <c r="BM45" i="52"/>
  <c r="BN44" i="52"/>
  <c r="BM44" i="52"/>
  <c r="BN43" i="52"/>
  <c r="BM43" i="52"/>
  <c r="BN42" i="52"/>
  <c r="BM42" i="52"/>
  <c r="BN41" i="52"/>
  <c r="BM41" i="52"/>
  <c r="BN40" i="52"/>
  <c r="BM40" i="52"/>
  <c r="BI37" i="52"/>
  <c r="BD37" i="52"/>
  <c r="AY37" i="52"/>
  <c r="AT37" i="52"/>
  <c r="AO37" i="52"/>
  <c r="AJ37" i="52"/>
  <c r="AE37" i="52"/>
  <c r="Z37" i="52"/>
  <c r="U37" i="52"/>
  <c r="P37" i="52"/>
  <c r="K37" i="52"/>
  <c r="F37" i="52"/>
  <c r="BO36" i="52"/>
  <c r="BP36" i="52" s="1"/>
  <c r="BN36" i="52"/>
  <c r="BM36" i="52"/>
  <c r="BN35" i="52"/>
  <c r="BO35" i="52" s="1"/>
  <c r="BP35" i="52" s="1"/>
  <c r="BM35" i="52"/>
  <c r="BO34" i="52"/>
  <c r="BP34" i="52" s="1"/>
  <c r="BN34" i="52"/>
  <c r="BM34" i="52"/>
  <c r="BN33" i="52"/>
  <c r="BM33" i="52"/>
  <c r="BM32" i="52"/>
  <c r="Z32" i="52"/>
  <c r="BO31" i="52"/>
  <c r="BP31" i="52" s="1"/>
  <c r="BN31" i="52"/>
  <c r="BM31" i="52"/>
  <c r="BI28" i="52"/>
  <c r="BD28" i="52"/>
  <c r="AY28" i="52"/>
  <c r="AT28" i="52"/>
  <c r="AO28" i="52"/>
  <c r="AJ28" i="52"/>
  <c r="Z28" i="52"/>
  <c r="U28" i="52"/>
  <c r="P28" i="52"/>
  <c r="K28" i="52"/>
  <c r="F28" i="52"/>
  <c r="BO27" i="52"/>
  <c r="BP27" i="52" s="1"/>
  <c r="BN27" i="52"/>
  <c r="BM27" i="52"/>
  <c r="BN26" i="52"/>
  <c r="BM26" i="52"/>
  <c r="BM25" i="52"/>
  <c r="AE25" i="52"/>
  <c r="BN24" i="52"/>
  <c r="BM24" i="52"/>
  <c r="BO24" i="52" s="1"/>
  <c r="BP24" i="52" s="1"/>
  <c r="BN23" i="52"/>
  <c r="BM23" i="52"/>
  <c r="BO23" i="52" s="1"/>
  <c r="BP23" i="52" s="1"/>
  <c r="BN22" i="52"/>
  <c r="BM22" i="52"/>
  <c r="BI19" i="52"/>
  <c r="BD19" i="52"/>
  <c r="AY19" i="52"/>
  <c r="AT19" i="52"/>
  <c r="AO19" i="52"/>
  <c r="AJ19" i="52"/>
  <c r="U19" i="52"/>
  <c r="U58" i="52" s="1"/>
  <c r="P19" i="52"/>
  <c r="F19" i="52"/>
  <c r="F58" i="52" s="1"/>
  <c r="BM18" i="52"/>
  <c r="AE18" i="52"/>
  <c r="BN18" i="52" s="1"/>
  <c r="BN17" i="52"/>
  <c r="BM17" i="52"/>
  <c r="BN16" i="52"/>
  <c r="BM16" i="52"/>
  <c r="BO16" i="52" s="1"/>
  <c r="BP16" i="52" s="1"/>
  <c r="BN15" i="52"/>
  <c r="BM15" i="52"/>
  <c r="BC15" i="52"/>
  <c r="BE15" i="52" s="1"/>
  <c r="BF15" i="52" s="1"/>
  <c r="AS15" i="52"/>
  <c r="Y15" i="52"/>
  <c r="AA15" i="52" s="1"/>
  <c r="AB15" i="52" s="1"/>
  <c r="B15" i="52"/>
  <c r="BM14" i="52"/>
  <c r="BH14" i="52"/>
  <c r="BJ14" i="52" s="1"/>
  <c r="BK14" i="52" s="1"/>
  <c r="BC14" i="52"/>
  <c r="BE14" i="52" s="1"/>
  <c r="BF14" i="52" s="1"/>
  <c r="AX14" i="52"/>
  <c r="AZ14" i="52" s="1"/>
  <c r="BA14" i="52" s="1"/>
  <c r="AS14" i="52"/>
  <c r="AU14" i="52" s="1"/>
  <c r="AV14" i="52" s="1"/>
  <c r="AN14" i="52"/>
  <c r="AP14" i="52" s="1"/>
  <c r="AQ14" i="52" s="1"/>
  <c r="AI14" i="52"/>
  <c r="AK14" i="52" s="1"/>
  <c r="AL14" i="52" s="1"/>
  <c r="AE14" i="52"/>
  <c r="AD14" i="52"/>
  <c r="Z14" i="52"/>
  <c r="AA14" i="52" s="1"/>
  <c r="AB14" i="52" s="1"/>
  <c r="Y14" i="52"/>
  <c r="U14" i="52"/>
  <c r="T14" i="52"/>
  <c r="V14" i="52" s="1"/>
  <c r="W14" i="52" s="1"/>
  <c r="O14" i="52"/>
  <c r="Q14" i="52" s="1"/>
  <c r="R14" i="52" s="1"/>
  <c r="K14" i="52"/>
  <c r="K19" i="52" s="1"/>
  <c r="J14" i="52"/>
  <c r="E14" i="52"/>
  <c r="G14" i="52" s="1"/>
  <c r="H14" i="52" s="1"/>
  <c r="B14" i="52"/>
  <c r="BM13" i="52"/>
  <c r="BH13" i="52"/>
  <c r="BJ13" i="52" s="1"/>
  <c r="BK13" i="52" s="1"/>
  <c r="BC13" i="52"/>
  <c r="BE13" i="52" s="1"/>
  <c r="BF13" i="52" s="1"/>
  <c r="AX13" i="52"/>
  <c r="AZ13" i="52" s="1"/>
  <c r="BA13" i="52" s="1"/>
  <c r="AS13" i="52"/>
  <c r="AU13" i="52" s="1"/>
  <c r="AV13" i="52" s="1"/>
  <c r="AN13" i="52"/>
  <c r="AI13" i="52"/>
  <c r="AE13" i="52"/>
  <c r="AE19" i="52" s="1"/>
  <c r="AD13" i="52"/>
  <c r="Y13" i="52"/>
  <c r="AA13" i="52" s="1"/>
  <c r="AB13" i="52" s="1"/>
  <c r="T13" i="52"/>
  <c r="O13" i="52"/>
  <c r="Q13" i="52" s="1"/>
  <c r="R13" i="52" s="1"/>
  <c r="L13" i="52"/>
  <c r="M13" i="52" s="1"/>
  <c r="J13" i="52"/>
  <c r="E13" i="52"/>
  <c r="G13" i="52" s="1"/>
  <c r="H13" i="52" s="1"/>
  <c r="BP10" i="52"/>
  <c r="BO10" i="52"/>
  <c r="BN10" i="52"/>
  <c r="BM10" i="52"/>
  <c r="M10" i="52"/>
  <c r="L10" i="52"/>
  <c r="K10" i="52"/>
  <c r="J10" i="52"/>
  <c r="H10" i="52"/>
  <c r="G10" i="52"/>
  <c r="F10" i="52"/>
  <c r="E10" i="52"/>
  <c r="BM9" i="52"/>
  <c r="J9" i="52"/>
  <c r="E9" i="52"/>
  <c r="J8" i="52"/>
  <c r="O8" i="52" s="1"/>
  <c r="C5" i="52"/>
  <c r="K50" i="35"/>
  <c r="K45" i="35"/>
  <c r="K44" i="35"/>
  <c r="K38" i="35"/>
  <c r="K37" i="35"/>
  <c r="K36" i="35"/>
  <c r="P25" i="35"/>
  <c r="P26" i="35" s="1"/>
  <c r="P27" i="35" s="1"/>
  <c r="P28" i="35" s="1"/>
  <c r="P29" i="35" s="1"/>
  <c r="P30" i="35" s="1"/>
  <c r="K23" i="35"/>
  <c r="K22" i="35"/>
  <c r="J22" i="35"/>
  <c r="L22" i="35" s="1"/>
  <c r="M22" i="35" s="1"/>
  <c r="K21" i="35"/>
  <c r="K20" i="35"/>
  <c r="J20" i="35"/>
  <c r="J19" i="35"/>
  <c r="K18" i="35"/>
  <c r="J18" i="35"/>
  <c r="L16" i="35"/>
  <c r="M16" i="35" s="1"/>
  <c r="K16" i="35"/>
  <c r="J16" i="35"/>
  <c r="K15" i="35"/>
  <c r="K14" i="35"/>
  <c r="J14" i="35"/>
  <c r="M10" i="35"/>
  <c r="L10" i="35"/>
  <c r="K10" i="35"/>
  <c r="J10" i="35"/>
  <c r="H10" i="35"/>
  <c r="G10" i="35"/>
  <c r="F10" i="35"/>
  <c r="E10" i="35"/>
  <c r="J9" i="35"/>
  <c r="E9" i="35"/>
  <c r="C5" i="35"/>
  <c r="E13" i="45"/>
  <c r="E12" i="45"/>
  <c r="E11" i="45"/>
  <c r="E10" i="45"/>
  <c r="E9" i="45"/>
  <c r="D9" i="45"/>
  <c r="A25" i="61"/>
  <c r="A21" i="61"/>
  <c r="A15" i="61"/>
  <c r="A2" i="61"/>
  <c r="A26" i="61"/>
  <c r="A13" i="61"/>
  <c r="A11" i="61"/>
  <c r="A12" i="61"/>
  <c r="A10" i="61"/>
  <c r="A9" i="61"/>
  <c r="A8" i="61"/>
  <c r="A7" i="61"/>
  <c r="A6" i="61"/>
  <c r="A5" i="61"/>
  <c r="A4" i="61"/>
  <c r="A3" i="61"/>
  <c r="AO85" i="6" l="1"/>
  <c r="AG72" i="53"/>
  <c r="BD85" i="6"/>
  <c r="AF14" i="52"/>
  <c r="AG14" i="52" s="1"/>
  <c r="T42" i="54"/>
  <c r="BO66" i="52"/>
  <c r="BP66" i="52" s="1"/>
  <c r="S30" i="54"/>
  <c r="T30" i="54" s="1"/>
  <c r="S12" i="54"/>
  <c r="L21" i="35"/>
  <c r="M21" i="35" s="1"/>
  <c r="BO18" i="52"/>
  <c r="BP18" i="52" s="1"/>
  <c r="BO44" i="52"/>
  <c r="BP44" i="52" s="1"/>
  <c r="S59" i="54"/>
  <c r="T59" i="54" s="1"/>
  <c r="S60" i="54"/>
  <c r="T60" i="54" s="1"/>
  <c r="S21" i="54"/>
  <c r="T21" i="54" s="1"/>
  <c r="T15" i="54"/>
  <c r="BO45" i="52"/>
  <c r="BP45" i="52" s="1"/>
  <c r="S52" i="54"/>
  <c r="T52" i="54" s="1"/>
  <c r="BM55" i="52"/>
  <c r="O54" i="54"/>
  <c r="O61" i="54" s="1"/>
  <c r="S53" i="54"/>
  <c r="T53" i="54" s="1"/>
  <c r="L15" i="35"/>
  <c r="M15" i="35" s="1"/>
  <c r="BO15" i="52"/>
  <c r="BP15" i="52" s="1"/>
  <c r="BO50" i="52"/>
  <c r="BP50" i="52" s="1"/>
  <c r="BO59" i="52"/>
  <c r="BP59" i="52" s="1"/>
  <c r="BO60" i="52"/>
  <c r="BP60" i="52" s="1"/>
  <c r="BO68" i="52"/>
  <c r="BP68" i="52" s="1"/>
  <c r="T24" i="54"/>
  <c r="L14" i="35"/>
  <c r="M14" i="35" s="1"/>
  <c r="BO49" i="52"/>
  <c r="BP49" i="52" s="1"/>
  <c r="L23" i="35"/>
  <c r="M23" i="35" s="1"/>
  <c r="BO26" i="52"/>
  <c r="BP26" i="52" s="1"/>
  <c r="T33" i="54"/>
  <c r="L18" i="35"/>
  <c r="M18" i="35" s="1"/>
  <c r="BM28" i="52"/>
  <c r="BO43" i="52"/>
  <c r="BP43" i="52" s="1"/>
  <c r="BO67" i="52"/>
  <c r="BP67" i="52" s="1"/>
  <c r="S26" i="53"/>
  <c r="AB26" i="53"/>
  <c r="AF52" i="53"/>
  <c r="AG52" i="53" s="1"/>
  <c r="S7" i="53"/>
  <c r="Z13" i="53"/>
  <c r="Z18" i="53" s="1"/>
  <c r="D18" i="53"/>
  <c r="Y13" i="53"/>
  <c r="Y18" i="53" s="1"/>
  <c r="X13" i="53"/>
  <c r="X18" i="53" s="1"/>
  <c r="W13" i="53"/>
  <c r="W18" i="53" s="1"/>
  <c r="V13" i="53"/>
  <c r="V18" i="53" s="1"/>
  <c r="U13" i="53"/>
  <c r="S13" i="53"/>
  <c r="AF17" i="53"/>
  <c r="AG17" i="53" s="1"/>
  <c r="Z30" i="53"/>
  <c r="Y30" i="53"/>
  <c r="X30" i="53"/>
  <c r="X40" i="53" s="1"/>
  <c r="W30" i="53"/>
  <c r="V30" i="53"/>
  <c r="V40" i="53" s="1"/>
  <c r="D40" i="53"/>
  <c r="D43" i="53" s="1"/>
  <c r="D45" i="53" s="1"/>
  <c r="U30" i="53"/>
  <c r="S30" i="53"/>
  <c r="AA39" i="53"/>
  <c r="AC30" i="53"/>
  <c r="Z33" i="53"/>
  <c r="Y33" i="53"/>
  <c r="X33" i="53"/>
  <c r="W33" i="53"/>
  <c r="V33" i="53"/>
  <c r="U33" i="53"/>
  <c r="U40" i="53" s="1"/>
  <c r="S33" i="53"/>
  <c r="AC39" i="53"/>
  <c r="O14" i="6"/>
  <c r="Q14" i="6" s="1"/>
  <c r="R14" i="6" s="1"/>
  <c r="BC14" i="6"/>
  <c r="BE14" i="6" s="1"/>
  <c r="BF14" i="6" s="1"/>
  <c r="B13" i="53"/>
  <c r="K69" i="53"/>
  <c r="J69" i="53"/>
  <c r="I69" i="53"/>
  <c r="H69" i="53"/>
  <c r="G69" i="53"/>
  <c r="D73" i="53"/>
  <c r="F69" i="53"/>
  <c r="P69" i="53"/>
  <c r="O69" i="53"/>
  <c r="AC33" i="53"/>
  <c r="AC51" i="53"/>
  <c r="AB51" i="53"/>
  <c r="AA51" i="53"/>
  <c r="Z51" i="53"/>
  <c r="Y51" i="53"/>
  <c r="Y53" i="53" s="1"/>
  <c r="X51" i="53"/>
  <c r="X53" i="53" s="1"/>
  <c r="V51" i="53"/>
  <c r="V53" i="53" s="1"/>
  <c r="V66" i="53" s="1"/>
  <c r="U51" i="53"/>
  <c r="U53" i="53" s="1"/>
  <c r="Z63" i="53"/>
  <c r="M69" i="53"/>
  <c r="T13" i="6"/>
  <c r="V13" i="6" s="1"/>
  <c r="W13" i="6" s="1"/>
  <c r="U42" i="53"/>
  <c r="S51" i="53"/>
  <c r="AF51" i="53" s="1"/>
  <c r="AG51" i="53" s="1"/>
  <c r="AB13" i="53"/>
  <c r="T51" i="53"/>
  <c r="T53" i="53" s="1"/>
  <c r="T66" i="53" s="1"/>
  <c r="Q69" i="53"/>
  <c r="AA30" i="53"/>
  <c r="AD30" i="53"/>
  <c r="AD40" i="53" s="1"/>
  <c r="T33" i="53"/>
  <c r="AF73" i="53"/>
  <c r="AB7" i="53"/>
  <c r="AX14" i="6" s="1"/>
  <c r="AZ14" i="6" s="1"/>
  <c r="BA14" i="6" s="1"/>
  <c r="D9" i="53"/>
  <c r="AA7" i="53"/>
  <c r="AA9" i="53" s="1"/>
  <c r="Z7" i="53"/>
  <c r="AN14" i="6" s="1"/>
  <c r="AP14" i="6" s="1"/>
  <c r="AQ14" i="6" s="1"/>
  <c r="Y7" i="53"/>
  <c r="AI14" i="6" s="1"/>
  <c r="AK14" i="6" s="1"/>
  <c r="AL14" i="6" s="1"/>
  <c r="X7" i="53"/>
  <c r="AD14" i="6" s="1"/>
  <c r="W7" i="53"/>
  <c r="W9" i="53" s="1"/>
  <c r="U7" i="53"/>
  <c r="AA33" i="53"/>
  <c r="T7" i="53"/>
  <c r="Z36" i="53"/>
  <c r="Y36" i="53"/>
  <c r="X36" i="53"/>
  <c r="W36" i="53"/>
  <c r="V36" i="53"/>
  <c r="U36" i="53"/>
  <c r="S36" i="53"/>
  <c r="AF36" i="53" s="1"/>
  <c r="AG36" i="53" s="1"/>
  <c r="AA42" i="53"/>
  <c r="Z42" i="53"/>
  <c r="Y42" i="53"/>
  <c r="X42" i="53"/>
  <c r="W42" i="53"/>
  <c r="V42" i="53"/>
  <c r="T42" i="53"/>
  <c r="S42" i="53"/>
  <c r="AF42" i="53" s="1"/>
  <c r="AG42" i="53" s="1"/>
  <c r="Z53" i="53"/>
  <c r="V7" i="53"/>
  <c r="V9" i="53" s="1"/>
  <c r="AA13" i="53"/>
  <c r="AA22" i="53"/>
  <c r="Z22" i="53"/>
  <c r="Y22" i="53"/>
  <c r="X22" i="53"/>
  <c r="W22" i="53"/>
  <c r="W26" i="53" s="1"/>
  <c r="V22" i="53"/>
  <c r="V26" i="53" s="1"/>
  <c r="T22" i="53"/>
  <c r="T26" i="53" s="1"/>
  <c r="AA25" i="53"/>
  <c r="Z25" i="53"/>
  <c r="Y25" i="53"/>
  <c r="X25" i="53"/>
  <c r="AF25" i="53" s="1"/>
  <c r="AG25" i="53" s="1"/>
  <c r="W25" i="53"/>
  <c r="V25" i="53"/>
  <c r="T25" i="53"/>
  <c r="AD33" i="53"/>
  <c r="T36" i="53"/>
  <c r="AA53" i="53"/>
  <c r="T63" i="53"/>
  <c r="N69" i="53"/>
  <c r="AI13" i="6"/>
  <c r="AK13" i="6" s="1"/>
  <c r="AL13" i="6" s="1"/>
  <c r="AD7" i="53"/>
  <c r="BH14" i="6" s="1"/>
  <c r="BJ14" i="6" s="1"/>
  <c r="BK14" i="6" s="1"/>
  <c r="AC13" i="53"/>
  <c r="Z16" i="53"/>
  <c r="Y16" i="53"/>
  <c r="X16" i="53"/>
  <c r="W16" i="53"/>
  <c r="V16" i="53"/>
  <c r="U16" i="53"/>
  <c r="S16" i="53"/>
  <c r="AF16" i="53" s="1"/>
  <c r="AG16" i="53" s="1"/>
  <c r="U22" i="53"/>
  <c r="U26" i="53" s="1"/>
  <c r="U25" i="53"/>
  <c r="AB36" i="53"/>
  <c r="AC42" i="53"/>
  <c r="W51" i="53"/>
  <c r="W53" i="53" s="1"/>
  <c r="AG69" i="53"/>
  <c r="X63" i="53"/>
  <c r="Z39" i="53"/>
  <c r="Y39" i="53"/>
  <c r="X39" i="53"/>
  <c r="W39" i="53"/>
  <c r="V39" i="53"/>
  <c r="U39" i="53"/>
  <c r="S39" i="53"/>
  <c r="AC26" i="53"/>
  <c r="AF24" i="53"/>
  <c r="AG24" i="53" s="1"/>
  <c r="T40" i="53"/>
  <c r="T30" i="53"/>
  <c r="T39" i="53"/>
  <c r="S53" i="53"/>
  <c r="AB30" i="53"/>
  <c r="AB39" i="53"/>
  <c r="AD57" i="53"/>
  <c r="AD60" i="53"/>
  <c r="Z6" i="53"/>
  <c r="AB8" i="53"/>
  <c r="AA14" i="53"/>
  <c r="W15" i="53"/>
  <c r="AF15" i="53" s="1"/>
  <c r="AG15" i="53" s="1"/>
  <c r="AA17" i="53"/>
  <c r="AB23" i="53"/>
  <c r="X24" i="53"/>
  <c r="W29" i="53"/>
  <c r="AA31" i="53"/>
  <c r="W32" i="53"/>
  <c r="AF32" i="53" s="1"/>
  <c r="AG32" i="53" s="1"/>
  <c r="AA34" i="53"/>
  <c r="W35" i="53"/>
  <c r="AF35" i="53" s="1"/>
  <c r="AG35" i="53" s="1"/>
  <c r="AA37" i="53"/>
  <c r="W38" i="53"/>
  <c r="X41" i="53"/>
  <c r="Y44" i="53"/>
  <c r="AF44" i="53" s="1"/>
  <c r="AG44" i="53" s="1"/>
  <c r="Z50" i="53"/>
  <c r="AD52" i="53"/>
  <c r="W56" i="53"/>
  <c r="S57" i="53"/>
  <c r="AF57" i="53" s="1"/>
  <c r="AG57" i="53" s="1"/>
  <c r="AA58" i="53"/>
  <c r="AA63" i="53" s="1"/>
  <c r="W59" i="53"/>
  <c r="S60" i="53"/>
  <c r="AA61" i="53"/>
  <c r="W62" i="53"/>
  <c r="AB64" i="53"/>
  <c r="X65" i="53"/>
  <c r="L70" i="53"/>
  <c r="L75" i="53"/>
  <c r="AB6" i="53"/>
  <c r="AD8" i="53"/>
  <c r="AC14" i="53"/>
  <c r="AC17" i="53"/>
  <c r="AD23" i="53"/>
  <c r="AD26" i="53" s="1"/>
  <c r="AD43" i="53" s="1"/>
  <c r="AD45" i="53" s="1"/>
  <c r="Z24" i="53"/>
  <c r="AC31" i="53"/>
  <c r="AC34" i="53"/>
  <c r="AC37" i="53"/>
  <c r="Z41" i="53"/>
  <c r="AB50" i="53"/>
  <c r="AB53" i="53" s="1"/>
  <c r="U57" i="53"/>
  <c r="U60" i="53"/>
  <c r="AC61" i="53"/>
  <c r="AC63" i="53" s="1"/>
  <c r="AD64" i="53"/>
  <c r="Z65" i="53"/>
  <c r="AF65" i="53" s="1"/>
  <c r="AG65" i="53" s="1"/>
  <c r="AC6" i="53"/>
  <c r="S8" i="53"/>
  <c r="AD14" i="53"/>
  <c r="AD18" i="53" s="1"/>
  <c r="AD17" i="53"/>
  <c r="S23" i="53"/>
  <c r="AA24" i="53"/>
  <c r="AD31" i="53"/>
  <c r="AD34" i="53"/>
  <c r="AD37" i="53"/>
  <c r="AA41" i="53"/>
  <c r="AC50" i="53"/>
  <c r="AC53" i="53" s="1"/>
  <c r="AC66" i="53" s="1"/>
  <c r="D53" i="53"/>
  <c r="D66" i="53" s="1"/>
  <c r="V57" i="53"/>
  <c r="AD58" i="53"/>
  <c r="V60" i="53"/>
  <c r="V63" i="53" s="1"/>
  <c r="AD61" i="53"/>
  <c r="AA65" i="53"/>
  <c r="AB24" i="53"/>
  <c r="AB41" i="53"/>
  <c r="AD50" i="53"/>
  <c r="AD53" i="53" s="1"/>
  <c r="W57" i="53"/>
  <c r="W60" i="53"/>
  <c r="AB65" i="53"/>
  <c r="AD6" i="53"/>
  <c r="S6" i="53"/>
  <c r="U8" i="53"/>
  <c r="O15" i="6" s="1"/>
  <c r="Q15" i="6" s="1"/>
  <c r="R15" i="6" s="1"/>
  <c r="T14" i="53"/>
  <c r="T18" i="53" s="1"/>
  <c r="AB15" i="53"/>
  <c r="T17" i="53"/>
  <c r="U23" i="53"/>
  <c r="AC24" i="53"/>
  <c r="AB29" i="53"/>
  <c r="T31" i="53"/>
  <c r="AF31" i="53" s="1"/>
  <c r="AG31" i="53" s="1"/>
  <c r="AB32" i="53"/>
  <c r="T34" i="53"/>
  <c r="AF34" i="53" s="1"/>
  <c r="AG34" i="53" s="1"/>
  <c r="AB35" i="53"/>
  <c r="T37" i="53"/>
  <c r="AF37" i="53" s="1"/>
  <c r="AG37" i="53" s="1"/>
  <c r="AB38" i="53"/>
  <c r="AF38" i="53" s="1"/>
  <c r="AG38" i="53" s="1"/>
  <c r="AC41" i="53"/>
  <c r="AF41" i="53" s="1"/>
  <c r="AG41" i="53" s="1"/>
  <c r="S50" i="53"/>
  <c r="AB56" i="53"/>
  <c r="X57" i="53"/>
  <c r="T58" i="53"/>
  <c r="AF58" i="53" s="1"/>
  <c r="AG58" i="53" s="1"/>
  <c r="AB59" i="53"/>
  <c r="AF59" i="53" s="1"/>
  <c r="AG59" i="53" s="1"/>
  <c r="X60" i="53"/>
  <c r="T61" i="53"/>
  <c r="AF61" i="53" s="1"/>
  <c r="AG61" i="53" s="1"/>
  <c r="AB62" i="53"/>
  <c r="U64" i="53"/>
  <c r="AF64" i="53" s="1"/>
  <c r="AG64" i="53" s="1"/>
  <c r="AC65" i="53"/>
  <c r="Y57" i="53"/>
  <c r="Y63" i="53" s="1"/>
  <c r="Y60" i="53"/>
  <c r="AD65" i="53"/>
  <c r="AD24" i="53"/>
  <c r="AD41" i="53"/>
  <c r="K27" i="35"/>
  <c r="F85" i="6"/>
  <c r="AJ85" i="6"/>
  <c r="AD15" i="6"/>
  <c r="AF15" i="6" s="1"/>
  <c r="AG15" i="6" s="1"/>
  <c r="AI15" i="6"/>
  <c r="J15" i="6"/>
  <c r="L15" i="6" s="1"/>
  <c r="M15" i="6" s="1"/>
  <c r="B20" i="6"/>
  <c r="BH15" i="6"/>
  <c r="BJ15" i="6" s="1"/>
  <c r="BK15" i="6" s="1"/>
  <c r="E15" i="6"/>
  <c r="AX15" i="6"/>
  <c r="AZ15" i="6" s="1"/>
  <c r="BA15" i="6" s="1"/>
  <c r="AS15" i="6"/>
  <c r="AU15" i="6" s="1"/>
  <c r="AV15" i="6" s="1"/>
  <c r="AU13" i="6"/>
  <c r="AV13" i="6" s="1"/>
  <c r="O10" i="6"/>
  <c r="Q10" i="6"/>
  <c r="U85" i="6"/>
  <c r="T8" i="6"/>
  <c r="T15" i="6"/>
  <c r="V15" i="6" s="1"/>
  <c r="W15" i="6" s="1"/>
  <c r="BN47" i="6"/>
  <c r="AT85" i="6"/>
  <c r="BN70" i="6"/>
  <c r="K43" i="35" s="1"/>
  <c r="AE74" i="6"/>
  <c r="Q13" i="6"/>
  <c r="R13" i="6" s="1"/>
  <c r="AY85" i="6"/>
  <c r="AE51" i="6"/>
  <c r="AE53" i="6" s="1"/>
  <c r="AE85" i="6" s="1"/>
  <c r="AS14" i="6"/>
  <c r="AU14" i="6" s="1"/>
  <c r="AV14" i="6" s="1"/>
  <c r="Y14" i="6"/>
  <c r="AA14" i="6" s="1"/>
  <c r="AB14" i="6" s="1"/>
  <c r="E14" i="6"/>
  <c r="Z85" i="6"/>
  <c r="BI85" i="6"/>
  <c r="K74" i="6"/>
  <c r="K85" i="6" s="1"/>
  <c r="BN33" i="6"/>
  <c r="BI51" i="6"/>
  <c r="BI53" i="6" s="1"/>
  <c r="AT74" i="6"/>
  <c r="F74" i="6"/>
  <c r="BN81" i="6"/>
  <c r="K49" i="35" s="1"/>
  <c r="BD58" i="52"/>
  <c r="AT62" i="52"/>
  <c r="AU15" i="52"/>
  <c r="AV15" i="52" s="1"/>
  <c r="AE58" i="52"/>
  <c r="AX15" i="52"/>
  <c r="AZ15" i="52" s="1"/>
  <c r="BA15" i="52" s="1"/>
  <c r="BI58" i="52"/>
  <c r="BO22" i="52"/>
  <c r="BP22" i="52" s="1"/>
  <c r="Z19" i="52"/>
  <c r="BN14" i="52"/>
  <c r="BO14" i="52" s="1"/>
  <c r="BP14" i="52" s="1"/>
  <c r="AK13" i="52"/>
  <c r="AL13" i="52" s="1"/>
  <c r="AP13" i="52"/>
  <c r="AQ13" i="52" s="1"/>
  <c r="BN25" i="52"/>
  <c r="BO25" i="52" s="1"/>
  <c r="BP25" i="52" s="1"/>
  <c r="AE28" i="52"/>
  <c r="V13" i="52"/>
  <c r="W13" i="52" s="1"/>
  <c r="B17" i="52"/>
  <c r="AN15" i="52"/>
  <c r="AP15" i="52" s="1"/>
  <c r="AQ15" i="52" s="1"/>
  <c r="O15" i="52"/>
  <c r="Q15" i="52" s="1"/>
  <c r="R15" i="52" s="1"/>
  <c r="BH15" i="52"/>
  <c r="BJ15" i="52" s="1"/>
  <c r="BK15" i="52" s="1"/>
  <c r="AI15" i="52"/>
  <c r="AK15" i="52" s="1"/>
  <c r="AL15" i="52" s="1"/>
  <c r="J15" i="52"/>
  <c r="AD15" i="52"/>
  <c r="AF15" i="52" s="1"/>
  <c r="AG15" i="52" s="1"/>
  <c r="E15" i="52"/>
  <c r="F62" i="52"/>
  <c r="K58" i="52"/>
  <c r="B16" i="52"/>
  <c r="L14" i="52"/>
  <c r="M14" i="52" s="1"/>
  <c r="T15" i="52"/>
  <c r="V15" i="52" s="1"/>
  <c r="W15" i="52" s="1"/>
  <c r="BO64" i="52"/>
  <c r="BP64" i="52" s="1"/>
  <c r="K19" i="35"/>
  <c r="L19" i="35" s="1"/>
  <c r="M19" i="35" s="1"/>
  <c r="BO40" i="52"/>
  <c r="BP40" i="52" s="1"/>
  <c r="BN46" i="52"/>
  <c r="BO46" i="52" s="1"/>
  <c r="BP46" i="52" s="1"/>
  <c r="P10" i="52"/>
  <c r="R10" i="52"/>
  <c r="O9" i="52"/>
  <c r="O10" i="52"/>
  <c r="BO17" i="52"/>
  <c r="BP17" i="52" s="1"/>
  <c r="T8" i="52"/>
  <c r="Q10" i="52"/>
  <c r="U62" i="52"/>
  <c r="P62" i="52"/>
  <c r="BO42" i="52"/>
  <c r="BP42" i="52" s="1"/>
  <c r="BM19" i="52"/>
  <c r="BN13" i="52"/>
  <c r="AY58" i="52"/>
  <c r="BN32" i="52"/>
  <c r="BO32" i="52" s="1"/>
  <c r="BP32" i="52" s="1"/>
  <c r="L20" i="35"/>
  <c r="M20" i="35" s="1"/>
  <c r="AJ58" i="52"/>
  <c r="BO33" i="52"/>
  <c r="BP33" i="52" s="1"/>
  <c r="BN55" i="52"/>
  <c r="BO55" i="52" s="1"/>
  <c r="BP55" i="52" s="1"/>
  <c r="AF13" i="52"/>
  <c r="AG13" i="52" s="1"/>
  <c r="BM46" i="52"/>
  <c r="AO58" i="52"/>
  <c r="BM37" i="52"/>
  <c r="BO54" i="52"/>
  <c r="BP54" i="52" s="1"/>
  <c r="BN37" i="52"/>
  <c r="BO37" i="52" s="1"/>
  <c r="BP37" i="52" s="1"/>
  <c r="BO41" i="52"/>
  <c r="BP41" i="52" s="1"/>
  <c r="D12" i="45"/>
  <c r="D10" i="45"/>
  <c r="D11" i="45"/>
  <c r="S50" i="54" l="1"/>
  <c r="T12" i="54"/>
  <c r="AF14" i="6"/>
  <c r="AG14" i="6" s="1"/>
  <c r="AD16" i="6"/>
  <c r="W40" i="53"/>
  <c r="W43" i="53" s="1"/>
  <c r="W45" i="53" s="1"/>
  <c r="X26" i="53"/>
  <c r="X43" i="53" s="1"/>
  <c r="X45" i="53" s="1"/>
  <c r="X66" i="53"/>
  <c r="D77" i="53"/>
  <c r="D78" i="53" s="1"/>
  <c r="AF53" i="53"/>
  <c r="AG53" i="53" s="1"/>
  <c r="AD9" i="53"/>
  <c r="BH13" i="6"/>
  <c r="BJ13" i="6" s="1"/>
  <c r="BK13" i="6" s="1"/>
  <c r="U43" i="53"/>
  <c r="U45" i="53" s="1"/>
  <c r="Z66" i="53"/>
  <c r="T43" i="53"/>
  <c r="T45" i="53" s="1"/>
  <c r="W63" i="53"/>
  <c r="W66" i="53" s="1"/>
  <c r="AF56" i="53"/>
  <c r="AG56" i="53" s="1"/>
  <c r="AC43" i="53"/>
  <c r="AC45" i="53" s="1"/>
  <c r="V43" i="53"/>
  <c r="V45" i="53" s="1"/>
  <c r="S40" i="53"/>
  <c r="S43" i="53" s="1"/>
  <c r="AB9" i="53"/>
  <c r="AX13" i="6"/>
  <c r="AZ13" i="6" s="1"/>
  <c r="BA13" i="6" s="1"/>
  <c r="AF39" i="53"/>
  <c r="AG39" i="53" s="1"/>
  <c r="AC40" i="53"/>
  <c r="AS16" i="6"/>
  <c r="AU16" i="6" s="1"/>
  <c r="AV16" i="6" s="1"/>
  <c r="AF14" i="53"/>
  <c r="AG14" i="53" s="1"/>
  <c r="AF29" i="53"/>
  <c r="AG29" i="53" s="1"/>
  <c r="Z26" i="53"/>
  <c r="T9" i="53"/>
  <c r="J14" i="6"/>
  <c r="L14" i="6" s="1"/>
  <c r="M14" i="6" s="1"/>
  <c r="T14" i="6"/>
  <c r="V14" i="6" s="1"/>
  <c r="W14" i="6" s="1"/>
  <c r="AB18" i="53"/>
  <c r="AF7" i="53"/>
  <c r="AB43" i="53"/>
  <c r="AB45" i="53" s="1"/>
  <c r="AF22" i="53"/>
  <c r="AG22" i="53" s="1"/>
  <c r="Y9" i="53"/>
  <c r="AB40" i="53"/>
  <c r="U63" i="53"/>
  <c r="U66" i="53" s="1"/>
  <c r="AB66" i="53"/>
  <c r="Y26" i="53"/>
  <c r="Y43" i="53" s="1"/>
  <c r="Y45" i="53" s="1"/>
  <c r="Y66" i="53"/>
  <c r="AB63" i="53"/>
  <c r="AF23" i="53"/>
  <c r="AG23" i="53" s="1"/>
  <c r="AA26" i="53"/>
  <c r="AG73" i="53"/>
  <c r="O16" i="6"/>
  <c r="Q16" i="6" s="1"/>
  <c r="R16" i="6" s="1"/>
  <c r="AF30" i="53"/>
  <c r="AG30" i="53" s="1"/>
  <c r="X9" i="53"/>
  <c r="Y40" i="53"/>
  <c r="AA66" i="53"/>
  <c r="Z40" i="53"/>
  <c r="AF50" i="53"/>
  <c r="AG50" i="53" s="1"/>
  <c r="AF62" i="53"/>
  <c r="AG62" i="53" s="1"/>
  <c r="Z9" i="53"/>
  <c r="AN13" i="6"/>
  <c r="AC18" i="53"/>
  <c r="AA18" i="53"/>
  <c r="AF33" i="53"/>
  <c r="AG33" i="53" s="1"/>
  <c r="AF8" i="53"/>
  <c r="AF60" i="53"/>
  <c r="AG60" i="53" s="1"/>
  <c r="AD63" i="53"/>
  <c r="AD66" i="53" s="1"/>
  <c r="U9" i="53"/>
  <c r="AA40" i="53"/>
  <c r="B14" i="53"/>
  <c r="S18" i="53"/>
  <c r="AF13" i="53"/>
  <c r="AG13" i="53" s="1"/>
  <c r="S9" i="53"/>
  <c r="AF6" i="53"/>
  <c r="E13" i="6"/>
  <c r="AC9" i="53"/>
  <c r="BC13" i="6"/>
  <c r="S63" i="53"/>
  <c r="U18" i="53"/>
  <c r="AN20" i="6"/>
  <c r="O20" i="6"/>
  <c r="BC20" i="6"/>
  <c r="AD20" i="6"/>
  <c r="E20" i="6"/>
  <c r="T20" i="6"/>
  <c r="Y20" i="6"/>
  <c r="J20" i="6"/>
  <c r="B22" i="6"/>
  <c r="AX20" i="6"/>
  <c r="AS20" i="6"/>
  <c r="AI20" i="6"/>
  <c r="BH20" i="6"/>
  <c r="AK15" i="6"/>
  <c r="AL15" i="6" s="1"/>
  <c r="AI16" i="6"/>
  <c r="E16" i="6"/>
  <c r="G14" i="6"/>
  <c r="H14" i="6" s="1"/>
  <c r="T10" i="6"/>
  <c r="Y8" i="6"/>
  <c r="V10" i="6"/>
  <c r="U10" i="6"/>
  <c r="W10" i="6"/>
  <c r="T9" i="6"/>
  <c r="T16" i="6"/>
  <c r="B21" i="6"/>
  <c r="Y16" i="6"/>
  <c r="AF16" i="6"/>
  <c r="AG16" i="6" s="1"/>
  <c r="J16" i="6"/>
  <c r="BM15" i="6"/>
  <c r="BO15" i="6" s="1"/>
  <c r="BP15" i="6" s="1"/>
  <c r="G15" i="6"/>
  <c r="H15" i="6" s="1"/>
  <c r="BN51" i="6"/>
  <c r="BN53" i="6" s="1"/>
  <c r="K34" i="35"/>
  <c r="K39" i="35" s="1"/>
  <c r="K35" i="35"/>
  <c r="K62" i="52"/>
  <c r="B18" i="52"/>
  <c r="P69" i="52"/>
  <c r="Z58" i="52"/>
  <c r="AY62" i="52"/>
  <c r="U69" i="52"/>
  <c r="AT69" i="52"/>
  <c r="G15" i="52"/>
  <c r="H15" i="52" s="1"/>
  <c r="BI62" i="52"/>
  <c r="T9" i="52"/>
  <c r="V10" i="52"/>
  <c r="U10" i="52"/>
  <c r="W10" i="52"/>
  <c r="T10" i="52"/>
  <c r="Y8" i="52"/>
  <c r="BN28" i="52"/>
  <c r="BO28" i="52" s="1"/>
  <c r="BP28" i="52" s="1"/>
  <c r="BH16" i="52"/>
  <c r="AN16" i="52"/>
  <c r="AP16" i="52" s="1"/>
  <c r="AQ16" i="52" s="1"/>
  <c r="T16" i="52"/>
  <c r="V16" i="52" s="1"/>
  <c r="W16" i="52" s="1"/>
  <c r="AX16" i="52"/>
  <c r="AS16" i="52"/>
  <c r="O16" i="52"/>
  <c r="AI16" i="52"/>
  <c r="AK16" i="52" s="1"/>
  <c r="AL16" i="52" s="1"/>
  <c r="J16" i="52"/>
  <c r="L16" i="52" s="1"/>
  <c r="M16" i="52" s="1"/>
  <c r="E16" i="52"/>
  <c r="G16" i="52" s="1"/>
  <c r="H16" i="52" s="1"/>
  <c r="BC16" i="52"/>
  <c r="Y16" i="52"/>
  <c r="AD16" i="52"/>
  <c r="L15" i="52"/>
  <c r="M15" i="52" s="1"/>
  <c r="AE62" i="52"/>
  <c r="BD62" i="52"/>
  <c r="AJ62" i="52"/>
  <c r="AO62" i="52"/>
  <c r="BO13" i="52"/>
  <c r="BP13" i="52" s="1"/>
  <c r="BN19" i="52"/>
  <c r="Y17" i="52"/>
  <c r="AA17" i="52" s="1"/>
  <c r="AB17" i="52" s="1"/>
  <c r="BH17" i="52"/>
  <c r="BJ17" i="52" s="1"/>
  <c r="BK17" i="52" s="1"/>
  <c r="BC17" i="52"/>
  <c r="BE17" i="52" s="1"/>
  <c r="BF17" i="52" s="1"/>
  <c r="AD17" i="52"/>
  <c r="AF17" i="52" s="1"/>
  <c r="AG17" i="52" s="1"/>
  <c r="E17" i="52"/>
  <c r="G17" i="52" s="1"/>
  <c r="H17" i="52" s="1"/>
  <c r="AX17" i="52"/>
  <c r="AZ17" i="52" s="1"/>
  <c r="BA17" i="52" s="1"/>
  <c r="O17" i="52"/>
  <c r="Q17" i="52" s="1"/>
  <c r="R17" i="52" s="1"/>
  <c r="AN17" i="52"/>
  <c r="AP17" i="52" s="1"/>
  <c r="AQ17" i="52" s="1"/>
  <c r="J17" i="52"/>
  <c r="L17" i="52" s="1"/>
  <c r="M17" i="52" s="1"/>
  <c r="T17" i="52"/>
  <c r="V17" i="52" s="1"/>
  <c r="W17" i="52" s="1"/>
  <c r="AS17" i="52"/>
  <c r="AU17" i="52" s="1"/>
  <c r="AV17" i="52" s="1"/>
  <c r="AI17" i="52"/>
  <c r="AK17" i="52" s="1"/>
  <c r="AL17" i="52" s="1"/>
  <c r="BM58" i="52"/>
  <c r="F69" i="52"/>
  <c r="B22" i="52"/>
  <c r="AX16" i="6" l="1"/>
  <c r="BH16" i="6"/>
  <c r="T50" i="54"/>
  <c r="S54" i="54"/>
  <c r="S45" i="53"/>
  <c r="AF63" i="53"/>
  <c r="AG63" i="53" s="1"/>
  <c r="BM14" i="6"/>
  <c r="BO14" i="6" s="1"/>
  <c r="BP14" i="6" s="1"/>
  <c r="BE13" i="6"/>
  <c r="BF13" i="6" s="1"/>
  <c r="BC16" i="6"/>
  <c r="BE16" i="6" s="1"/>
  <c r="BF16" i="6" s="1"/>
  <c r="B15" i="53"/>
  <c r="G13" i="6"/>
  <c r="H13" i="6" s="1"/>
  <c r="BM13" i="6"/>
  <c r="BO13" i="6" s="1"/>
  <c r="BP13" i="6" s="1"/>
  <c r="AH8" i="53"/>
  <c r="AG8" i="53"/>
  <c r="AP13" i="6"/>
  <c r="AQ13" i="6" s="1"/>
  <c r="AN16" i="6"/>
  <c r="AP16" i="6" s="1"/>
  <c r="AQ16" i="6" s="1"/>
  <c r="AA43" i="53"/>
  <c r="AA45" i="53" s="1"/>
  <c r="AH6" i="53"/>
  <c r="AG6" i="53"/>
  <c r="AF26" i="53"/>
  <c r="AG26" i="53" s="1"/>
  <c r="Z43" i="53"/>
  <c r="Z45" i="53" s="1"/>
  <c r="AF9" i="53"/>
  <c r="S66" i="53"/>
  <c r="AF66" i="53" s="1"/>
  <c r="AG66" i="53" s="1"/>
  <c r="AF18" i="53"/>
  <c r="AG18" i="53" s="1"/>
  <c r="B16" i="53"/>
  <c r="AF40" i="53"/>
  <c r="AG40" i="53" s="1"/>
  <c r="AH7" i="53"/>
  <c r="AG7" i="53"/>
  <c r="AK16" i="6"/>
  <c r="AL16" i="6" s="1"/>
  <c r="AF20" i="6"/>
  <c r="AG20" i="6" s="1"/>
  <c r="AK20" i="6"/>
  <c r="AL20" i="6" s="1"/>
  <c r="BE20" i="6"/>
  <c r="BF20" i="6" s="1"/>
  <c r="BH22" i="6"/>
  <c r="BJ22" i="6" s="1"/>
  <c r="BK22" i="6" s="1"/>
  <c r="O22" i="6"/>
  <c r="Q22" i="6" s="1"/>
  <c r="R22" i="6" s="1"/>
  <c r="AX22" i="6"/>
  <c r="AZ22" i="6" s="1"/>
  <c r="BA22" i="6" s="1"/>
  <c r="Y22" i="6"/>
  <c r="AA22" i="6" s="1"/>
  <c r="AB22" i="6" s="1"/>
  <c r="T22" i="6"/>
  <c r="V22" i="6" s="1"/>
  <c r="W22" i="6" s="1"/>
  <c r="BC22" i="6"/>
  <c r="BE22" i="6" s="1"/>
  <c r="BF22" i="6" s="1"/>
  <c r="E22" i="6"/>
  <c r="AS22" i="6"/>
  <c r="AU22" i="6" s="1"/>
  <c r="AV22" i="6" s="1"/>
  <c r="AN22" i="6"/>
  <c r="AP22" i="6" s="1"/>
  <c r="AQ22" i="6" s="1"/>
  <c r="AI22" i="6"/>
  <c r="AK22" i="6" s="1"/>
  <c r="AD22" i="6"/>
  <c r="AF22" i="6" s="1"/>
  <c r="AG22" i="6" s="1"/>
  <c r="J22" i="6"/>
  <c r="L22" i="6" s="1"/>
  <c r="M22" i="6" s="1"/>
  <c r="AA20" i="6"/>
  <c r="AB20" i="6" s="1"/>
  <c r="AA16" i="6"/>
  <c r="AB16" i="6" s="1"/>
  <c r="B23" i="6"/>
  <c r="BC21" i="6"/>
  <c r="BE21" i="6" s="1"/>
  <c r="BF21" i="6" s="1"/>
  <c r="AN21" i="6"/>
  <c r="AP21" i="6" s="1"/>
  <c r="AQ21" i="6" s="1"/>
  <c r="AS21" i="6"/>
  <c r="AU21" i="6" s="1"/>
  <c r="AV21" i="6" s="1"/>
  <c r="T21" i="6"/>
  <c r="V21" i="6" s="1"/>
  <c r="W21" i="6" s="1"/>
  <c r="J21" i="6"/>
  <c r="L21" i="6" s="1"/>
  <c r="M21" i="6" s="1"/>
  <c r="AI21" i="6"/>
  <c r="AK21" i="6" s="1"/>
  <c r="AD21" i="6"/>
  <c r="AF21" i="6" s="1"/>
  <c r="AG21" i="6" s="1"/>
  <c r="E21" i="6"/>
  <c r="Y21" i="6"/>
  <c r="AA21" i="6" s="1"/>
  <c r="AB21" i="6" s="1"/>
  <c r="BH21" i="6"/>
  <c r="BJ21" i="6" s="1"/>
  <c r="BK21" i="6" s="1"/>
  <c r="O21" i="6"/>
  <c r="Q21" i="6" s="1"/>
  <c r="R21" i="6" s="1"/>
  <c r="AX21" i="6"/>
  <c r="AZ21" i="6" s="1"/>
  <c r="BA21" i="6" s="1"/>
  <c r="AP20" i="6"/>
  <c r="AQ20" i="6" s="1"/>
  <c r="L20" i="6"/>
  <c r="M20" i="6" s="1"/>
  <c r="V16" i="6"/>
  <c r="W16" i="6" s="1"/>
  <c r="G16" i="6"/>
  <c r="BJ20" i="6"/>
  <c r="BK20" i="6" s="1"/>
  <c r="AZ16" i="6"/>
  <c r="BA16" i="6" s="1"/>
  <c r="V20" i="6"/>
  <c r="W20" i="6" s="1"/>
  <c r="BM20" i="6"/>
  <c r="G20" i="6"/>
  <c r="H20" i="6" s="1"/>
  <c r="AD8" i="6"/>
  <c r="AB10" i="6"/>
  <c r="Y9" i="6"/>
  <c r="AA10" i="6"/>
  <c r="Z10" i="6"/>
  <c r="Y10" i="6"/>
  <c r="Q20" i="6"/>
  <c r="R20" i="6" s="1"/>
  <c r="L16" i="6"/>
  <c r="M16" i="6" s="1"/>
  <c r="BJ16" i="6"/>
  <c r="BK16" i="6" s="1"/>
  <c r="AU20" i="6"/>
  <c r="AV20" i="6" s="1"/>
  <c r="BN60" i="6"/>
  <c r="AZ20" i="6"/>
  <c r="BA20" i="6" s="1"/>
  <c r="BN58" i="52"/>
  <c r="BO19" i="52"/>
  <c r="BP19" i="52" s="1"/>
  <c r="Q16" i="52"/>
  <c r="R16" i="52" s="1"/>
  <c r="AU16" i="52"/>
  <c r="AV16" i="52" s="1"/>
  <c r="B24" i="52"/>
  <c r="BC18" i="52"/>
  <c r="BE18" i="52" s="1"/>
  <c r="BF18" i="52" s="1"/>
  <c r="AN18" i="52"/>
  <c r="AP18" i="52" s="1"/>
  <c r="AQ18" i="52" s="1"/>
  <c r="O18" i="52"/>
  <c r="Q18" i="52" s="1"/>
  <c r="R18" i="52" s="1"/>
  <c r="BH18" i="52"/>
  <c r="BJ18" i="52" s="1"/>
  <c r="BK18" i="52" s="1"/>
  <c r="AI18" i="52"/>
  <c r="AK18" i="52" s="1"/>
  <c r="AL18" i="52" s="1"/>
  <c r="J18" i="52"/>
  <c r="L18" i="52" s="1"/>
  <c r="M18" i="52" s="1"/>
  <c r="AX18" i="52"/>
  <c r="AZ18" i="52" s="1"/>
  <c r="BA18" i="52" s="1"/>
  <c r="Y18" i="52"/>
  <c r="AA18" i="52" s="1"/>
  <c r="AB18" i="52" s="1"/>
  <c r="E18" i="52"/>
  <c r="G18" i="52" s="1"/>
  <c r="H18" i="52" s="1"/>
  <c r="AS18" i="52"/>
  <c r="AU18" i="52" s="1"/>
  <c r="AV18" i="52" s="1"/>
  <c r="AD18" i="52"/>
  <c r="AF18" i="52" s="1"/>
  <c r="AG18" i="52" s="1"/>
  <c r="T18" i="52"/>
  <c r="V18" i="52" s="1"/>
  <c r="W18" i="52" s="1"/>
  <c r="AO69" i="52"/>
  <c r="AZ16" i="52"/>
  <c r="BA16" i="52" s="1"/>
  <c r="B23" i="52"/>
  <c r="AE69" i="52"/>
  <c r="Z62" i="52"/>
  <c r="BM62" i="52"/>
  <c r="BM69" i="52" s="1"/>
  <c r="J13" i="35"/>
  <c r="J17" i="35" s="1"/>
  <c r="J24" i="35" s="1"/>
  <c r="AJ69" i="52"/>
  <c r="BJ16" i="52"/>
  <c r="BK16" i="52" s="1"/>
  <c r="BH19" i="52"/>
  <c r="E19" i="52"/>
  <c r="AF16" i="52"/>
  <c r="AG16" i="52" s="1"/>
  <c r="K69" i="52"/>
  <c r="AA16" i="52"/>
  <c r="AB16" i="52" s="1"/>
  <c r="BI69" i="52"/>
  <c r="BD69" i="52"/>
  <c r="BE16" i="52"/>
  <c r="BF16" i="52" s="1"/>
  <c r="Y10" i="52"/>
  <c r="AD8" i="52"/>
  <c r="AB10" i="52"/>
  <c r="AA10" i="52"/>
  <c r="Z10" i="52"/>
  <c r="Y9" i="52"/>
  <c r="AY69" i="52"/>
  <c r="AN22" i="52"/>
  <c r="J22" i="52"/>
  <c r="BH22" i="52"/>
  <c r="AI22" i="52"/>
  <c r="E22" i="52"/>
  <c r="AD22" i="52"/>
  <c r="BC22" i="52"/>
  <c r="Y22" i="52"/>
  <c r="AS22" i="52"/>
  <c r="T22" i="52"/>
  <c r="AX22" i="52"/>
  <c r="O22" i="52"/>
  <c r="T19" i="52" l="1"/>
  <c r="AX19" i="52"/>
  <c r="S61" i="54"/>
  <c r="T61" i="54" s="1"/>
  <c r="T54" i="54"/>
  <c r="Y19" i="52"/>
  <c r="AA19" i="52" s="1"/>
  <c r="AB19" i="52" s="1"/>
  <c r="BM16" i="6"/>
  <c r="J27" i="35" s="1"/>
  <c r="B17" i="53"/>
  <c r="AH9" i="53"/>
  <c r="AG9" i="53"/>
  <c r="AF45" i="53"/>
  <c r="AG45" i="53" s="1"/>
  <c r="AF43" i="53"/>
  <c r="AG43" i="53" s="1"/>
  <c r="BO20" i="6"/>
  <c r="BP20" i="6" s="1"/>
  <c r="B24" i="6"/>
  <c r="BM21" i="6"/>
  <c r="BO21" i="6" s="1"/>
  <c r="BP21" i="6" s="1"/>
  <c r="G21" i="6"/>
  <c r="H21" i="6" s="1"/>
  <c r="G22" i="6"/>
  <c r="H22" i="6" s="1"/>
  <c r="BM22" i="6"/>
  <c r="BO22" i="6" s="1"/>
  <c r="BP22" i="6" s="1"/>
  <c r="AD10" i="6"/>
  <c r="AE10" i="6"/>
  <c r="AI8" i="6"/>
  <c r="AG10" i="6"/>
  <c r="AD9" i="6"/>
  <c r="AF10" i="6"/>
  <c r="K42" i="35"/>
  <c r="K46" i="35" s="1"/>
  <c r="K52" i="35" s="1"/>
  <c r="BN74" i="6"/>
  <c r="BN85" i="6" s="1"/>
  <c r="H16" i="6"/>
  <c r="BH23" i="6"/>
  <c r="AN23" i="6"/>
  <c r="AP23" i="6" s="1"/>
  <c r="AQ23" i="6" s="1"/>
  <c r="T23" i="6"/>
  <c r="AI23" i="6"/>
  <c r="AK23" i="6" s="1"/>
  <c r="AL23" i="6" s="1"/>
  <c r="E23" i="6"/>
  <c r="J23" i="6"/>
  <c r="L23" i="6" s="1"/>
  <c r="M23" i="6" s="1"/>
  <c r="AX23" i="6"/>
  <c r="Y23" i="6"/>
  <c r="AA23" i="6" s="1"/>
  <c r="AB23" i="6" s="1"/>
  <c r="AS23" i="6"/>
  <c r="AU23" i="6" s="1"/>
  <c r="AV23" i="6" s="1"/>
  <c r="BC23" i="6"/>
  <c r="BE23" i="6" s="1"/>
  <c r="BF23" i="6" s="1"/>
  <c r="O23" i="6"/>
  <c r="Q23" i="6" s="1"/>
  <c r="R23" i="6" s="1"/>
  <c r="AD23" i="6"/>
  <c r="Q22" i="52"/>
  <c r="R22" i="52" s="1"/>
  <c r="O19" i="52"/>
  <c r="Z69" i="52"/>
  <c r="V22" i="52"/>
  <c r="W22" i="52" s="1"/>
  <c r="AX24" i="52"/>
  <c r="AZ24" i="52" s="1"/>
  <c r="BA24" i="52" s="1"/>
  <c r="AD24" i="52"/>
  <c r="AF24" i="52" s="1"/>
  <c r="AG24" i="52" s="1"/>
  <c r="J24" i="52"/>
  <c r="L24" i="52" s="1"/>
  <c r="M24" i="52" s="1"/>
  <c r="AN24" i="52"/>
  <c r="AP24" i="52" s="1"/>
  <c r="AQ24" i="52" s="1"/>
  <c r="O24" i="52"/>
  <c r="Q24" i="52" s="1"/>
  <c r="R24" i="52" s="1"/>
  <c r="E24" i="52"/>
  <c r="G24" i="52" s="1"/>
  <c r="H24" i="52" s="1"/>
  <c r="AI24" i="52"/>
  <c r="AK24" i="52" s="1"/>
  <c r="AL24" i="52" s="1"/>
  <c r="BH24" i="52"/>
  <c r="BJ24" i="52" s="1"/>
  <c r="BK24" i="52" s="1"/>
  <c r="BC24" i="52"/>
  <c r="BE24" i="52" s="1"/>
  <c r="BF24" i="52" s="1"/>
  <c r="Y24" i="52"/>
  <c r="AA24" i="52" s="1"/>
  <c r="AB24" i="52" s="1"/>
  <c r="AS24" i="52"/>
  <c r="AU24" i="52" s="1"/>
  <c r="AV24" i="52" s="1"/>
  <c r="T24" i="52"/>
  <c r="V24" i="52" s="1"/>
  <c r="W24" i="52" s="1"/>
  <c r="AU22" i="52"/>
  <c r="AV22" i="52" s="1"/>
  <c r="AE10" i="52"/>
  <c r="AF10" i="52"/>
  <c r="AD10" i="52"/>
  <c r="AI8" i="52"/>
  <c r="AG10" i="52"/>
  <c r="AD9" i="52"/>
  <c r="V19" i="52"/>
  <c r="W19" i="52" s="1"/>
  <c r="G19" i="52"/>
  <c r="H19" i="52" s="1"/>
  <c r="AI19" i="52"/>
  <c r="AF22" i="52"/>
  <c r="AG22" i="52" s="1"/>
  <c r="AZ22" i="52"/>
  <c r="BA22" i="52" s="1"/>
  <c r="BJ19" i="52"/>
  <c r="BK19" i="52" s="1"/>
  <c r="AS19" i="52"/>
  <c r="G22" i="52"/>
  <c r="H22" i="52" s="1"/>
  <c r="AZ19" i="52"/>
  <c r="BA19" i="52" s="1"/>
  <c r="B25" i="52"/>
  <c r="AN19" i="52"/>
  <c r="BN62" i="52"/>
  <c r="BO58" i="52"/>
  <c r="BP58" i="52" s="1"/>
  <c r="K13" i="35"/>
  <c r="AK22" i="52"/>
  <c r="AL22" i="52" s="1"/>
  <c r="AA22" i="52"/>
  <c r="AB22" i="52" s="1"/>
  <c r="BJ22" i="52"/>
  <c r="BK22" i="52" s="1"/>
  <c r="AD19" i="52"/>
  <c r="AP22" i="52"/>
  <c r="AQ22" i="52" s="1"/>
  <c r="BE22" i="52"/>
  <c r="BF22" i="52" s="1"/>
  <c r="BC19" i="52"/>
  <c r="AS23" i="52"/>
  <c r="AU23" i="52" s="1"/>
  <c r="AV23" i="52" s="1"/>
  <c r="Y23" i="52"/>
  <c r="AA23" i="52" s="1"/>
  <c r="AB23" i="52" s="1"/>
  <c r="E23" i="52"/>
  <c r="G23" i="52" s="1"/>
  <c r="H23" i="52" s="1"/>
  <c r="T23" i="52"/>
  <c r="V23" i="52" s="1"/>
  <c r="W23" i="52" s="1"/>
  <c r="O23" i="52"/>
  <c r="Q23" i="52" s="1"/>
  <c r="R23" i="52" s="1"/>
  <c r="AN23" i="52"/>
  <c r="AP23" i="52" s="1"/>
  <c r="AQ23" i="52" s="1"/>
  <c r="J23" i="52"/>
  <c r="L23" i="52" s="1"/>
  <c r="M23" i="52" s="1"/>
  <c r="AI23" i="52"/>
  <c r="AK23" i="52" s="1"/>
  <c r="AL23" i="52" s="1"/>
  <c r="BH23" i="52"/>
  <c r="BJ23" i="52" s="1"/>
  <c r="BK23" i="52" s="1"/>
  <c r="AD23" i="52"/>
  <c r="AF23" i="52" s="1"/>
  <c r="AG23" i="52" s="1"/>
  <c r="AX23" i="52"/>
  <c r="AZ23" i="52" s="1"/>
  <c r="BA23" i="52" s="1"/>
  <c r="BC23" i="52"/>
  <c r="BE23" i="52" s="1"/>
  <c r="BF23" i="52" s="1"/>
  <c r="J19" i="52"/>
  <c r="L22" i="52"/>
  <c r="M22" i="52" s="1"/>
  <c r="B26" i="52"/>
  <c r="BO16" i="6" l="1"/>
  <c r="BP16" i="6" s="1"/>
  <c r="BM70" i="52"/>
  <c r="B23" i="53"/>
  <c r="B22" i="53"/>
  <c r="AZ23" i="6"/>
  <c r="BA23" i="6" s="1"/>
  <c r="AJ10" i="6"/>
  <c r="AI9" i="6"/>
  <c r="AN8" i="6"/>
  <c r="AK10" i="6"/>
  <c r="AL10" i="6"/>
  <c r="AI10" i="6"/>
  <c r="AF23" i="6"/>
  <c r="AG23" i="6" s="1"/>
  <c r="AD25" i="6"/>
  <c r="BC24" i="6"/>
  <c r="BE24" i="6" s="1"/>
  <c r="BF24" i="6" s="1"/>
  <c r="J24" i="6"/>
  <c r="BH24" i="6"/>
  <c r="BJ24" i="6" s="1"/>
  <c r="BK24" i="6" s="1"/>
  <c r="AD24" i="6"/>
  <c r="AF24" i="6" s="1"/>
  <c r="AG24" i="6" s="1"/>
  <c r="T24" i="6"/>
  <c r="V24" i="6" s="1"/>
  <c r="W24" i="6" s="1"/>
  <c r="AS24" i="6"/>
  <c r="AN24" i="6"/>
  <c r="AX24" i="6"/>
  <c r="AZ24" i="6" s="1"/>
  <c r="BA24" i="6" s="1"/>
  <c r="AI24" i="6"/>
  <c r="AK24" i="6" s="1"/>
  <c r="AL24" i="6" s="1"/>
  <c r="Y24" i="6"/>
  <c r="AA24" i="6" s="1"/>
  <c r="AB24" i="6" s="1"/>
  <c r="O24" i="6"/>
  <c r="Q24" i="6" s="1"/>
  <c r="R24" i="6" s="1"/>
  <c r="E24" i="6"/>
  <c r="B29" i="6"/>
  <c r="B30" i="6"/>
  <c r="BJ23" i="6"/>
  <c r="BK23" i="6" s="1"/>
  <c r="L27" i="35"/>
  <c r="M27" i="35" s="1"/>
  <c r="G23" i="6"/>
  <c r="H23" i="6" s="1"/>
  <c r="BM23" i="6"/>
  <c r="BO23" i="6" s="1"/>
  <c r="BP23" i="6" s="1"/>
  <c r="V23" i="6"/>
  <c r="W23" i="6" s="1"/>
  <c r="T25" i="6"/>
  <c r="BE19" i="52"/>
  <c r="BF19" i="52" s="1"/>
  <c r="AN26" i="52"/>
  <c r="AP26" i="52" s="1"/>
  <c r="AQ26" i="52" s="1"/>
  <c r="BC26" i="52"/>
  <c r="BE26" i="52" s="1"/>
  <c r="BF26" i="52" s="1"/>
  <c r="J26" i="52"/>
  <c r="L26" i="52" s="1"/>
  <c r="M26" i="52" s="1"/>
  <c r="AI26" i="52"/>
  <c r="AK26" i="52" s="1"/>
  <c r="AL26" i="52" s="1"/>
  <c r="E26" i="52"/>
  <c r="G26" i="52" s="1"/>
  <c r="H26" i="52" s="1"/>
  <c r="BH26" i="52"/>
  <c r="BJ26" i="52" s="1"/>
  <c r="BK26" i="52" s="1"/>
  <c r="AD26" i="52"/>
  <c r="AF26" i="52" s="1"/>
  <c r="AG26" i="52" s="1"/>
  <c r="O26" i="52"/>
  <c r="Q26" i="52" s="1"/>
  <c r="R26" i="52" s="1"/>
  <c r="AS26" i="52"/>
  <c r="AU26" i="52" s="1"/>
  <c r="AV26" i="52" s="1"/>
  <c r="Y26" i="52"/>
  <c r="AA26" i="52" s="1"/>
  <c r="AB26" i="52" s="1"/>
  <c r="AX26" i="52"/>
  <c r="AZ26" i="52" s="1"/>
  <c r="BA26" i="52" s="1"/>
  <c r="T26" i="52"/>
  <c r="V26" i="52" s="1"/>
  <c r="W26" i="52" s="1"/>
  <c r="K17" i="35"/>
  <c r="L13" i="35"/>
  <c r="M13" i="35" s="1"/>
  <c r="AU19" i="52"/>
  <c r="AV19" i="52" s="1"/>
  <c r="AK19" i="52"/>
  <c r="AL19" i="52" s="1"/>
  <c r="AL10" i="52"/>
  <c r="AI10" i="52"/>
  <c r="AK10" i="52"/>
  <c r="AJ10" i="52"/>
  <c r="AN8" i="52"/>
  <c r="AI9" i="52"/>
  <c r="BN69" i="52"/>
  <c r="BO69" i="52" s="1"/>
  <c r="BP69" i="52" s="1"/>
  <c r="BO62" i="52"/>
  <c r="BP62" i="52" s="1"/>
  <c r="Q19" i="52"/>
  <c r="R19" i="52" s="1"/>
  <c r="AF19" i="52"/>
  <c r="AG19" i="52" s="1"/>
  <c r="AP19" i="52"/>
  <c r="AQ19" i="52" s="1"/>
  <c r="BH25" i="52"/>
  <c r="BJ25" i="52" s="1"/>
  <c r="BK25" i="52" s="1"/>
  <c r="AN25" i="52"/>
  <c r="AP25" i="52" s="1"/>
  <c r="AQ25" i="52" s="1"/>
  <c r="BC25" i="52"/>
  <c r="J25" i="52"/>
  <c r="L25" i="52" s="1"/>
  <c r="M25" i="52" s="1"/>
  <c r="Y25" i="52"/>
  <c r="AX25" i="52"/>
  <c r="AZ25" i="52" s="1"/>
  <c r="BA25" i="52" s="1"/>
  <c r="T25" i="52"/>
  <c r="V25" i="52" s="1"/>
  <c r="W25" i="52" s="1"/>
  <c r="AS25" i="52"/>
  <c r="O25" i="52"/>
  <c r="Q25" i="52" s="1"/>
  <c r="R25" i="52" s="1"/>
  <c r="AD25" i="52"/>
  <c r="AF25" i="52" s="1"/>
  <c r="AG25" i="52" s="1"/>
  <c r="AI25" i="52"/>
  <c r="E25" i="52"/>
  <c r="G25" i="52" s="1"/>
  <c r="H25" i="52" s="1"/>
  <c r="B27" i="52"/>
  <c r="L19" i="52"/>
  <c r="M19" i="52" s="1"/>
  <c r="BH25" i="6" l="1"/>
  <c r="BJ25" i="6" s="1"/>
  <c r="BK25" i="6" s="1"/>
  <c r="BC25" i="6"/>
  <c r="BE25" i="6" s="1"/>
  <c r="BF25" i="6" s="1"/>
  <c r="B24" i="53"/>
  <c r="G24" i="6"/>
  <c r="H24" i="6" s="1"/>
  <c r="BM24" i="6"/>
  <c r="E25" i="6"/>
  <c r="AP24" i="6"/>
  <c r="AQ24" i="6" s="1"/>
  <c r="AN25" i="6"/>
  <c r="AP10" i="6"/>
  <c r="AO10" i="6"/>
  <c r="AS8" i="6"/>
  <c r="AN10" i="6"/>
  <c r="AN9" i="6"/>
  <c r="AQ10" i="6"/>
  <c r="AX25" i="6"/>
  <c r="V25" i="6"/>
  <c r="W25" i="6" s="1"/>
  <c r="AF25" i="6"/>
  <c r="AG25" i="6" s="1"/>
  <c r="AI25" i="6"/>
  <c r="AU24" i="6"/>
  <c r="AV24" i="6" s="1"/>
  <c r="AS25" i="6"/>
  <c r="B31" i="6"/>
  <c r="O25" i="6"/>
  <c r="AD29" i="6"/>
  <c r="AS29" i="6"/>
  <c r="T29" i="6"/>
  <c r="AI29" i="6"/>
  <c r="E29" i="6"/>
  <c r="BH29" i="6"/>
  <c r="BC29" i="6"/>
  <c r="J29" i="6"/>
  <c r="Y29" i="6"/>
  <c r="O29" i="6"/>
  <c r="AX29" i="6"/>
  <c r="AN29" i="6"/>
  <c r="L24" i="6"/>
  <c r="M24" i="6" s="1"/>
  <c r="J25" i="6"/>
  <c r="AX30" i="6"/>
  <c r="AZ30" i="6" s="1"/>
  <c r="BA30" i="6" s="1"/>
  <c r="E30" i="6"/>
  <c r="AS30" i="6"/>
  <c r="AU30" i="6" s="1"/>
  <c r="AV30" i="6" s="1"/>
  <c r="T30" i="6"/>
  <c r="V30" i="6" s="1"/>
  <c r="W30" i="6" s="1"/>
  <c r="BH30" i="6"/>
  <c r="BJ30" i="6" s="1"/>
  <c r="BK30" i="6" s="1"/>
  <c r="AD30" i="6"/>
  <c r="AF30" i="6" s="1"/>
  <c r="AG30" i="6" s="1"/>
  <c r="BC30" i="6"/>
  <c r="BE30" i="6" s="1"/>
  <c r="BF30" i="6" s="1"/>
  <c r="J30" i="6"/>
  <c r="L30" i="6" s="1"/>
  <c r="M30" i="6" s="1"/>
  <c r="AI30" i="6"/>
  <c r="AK30" i="6" s="1"/>
  <c r="AL30" i="6" s="1"/>
  <c r="Y30" i="6"/>
  <c r="AA30" i="6" s="1"/>
  <c r="AB30" i="6" s="1"/>
  <c r="O30" i="6"/>
  <c r="Q30" i="6" s="1"/>
  <c r="R30" i="6" s="1"/>
  <c r="AN30" i="6"/>
  <c r="AP30" i="6" s="1"/>
  <c r="AQ30" i="6" s="1"/>
  <c r="Y25" i="6"/>
  <c r="K24" i="35"/>
  <c r="L17" i="35"/>
  <c r="M17" i="35" s="1"/>
  <c r="AK25" i="52"/>
  <c r="AL25" i="52" s="1"/>
  <c r="AU25" i="52"/>
  <c r="AV25" i="52" s="1"/>
  <c r="BE25" i="52"/>
  <c r="BF25" i="52" s="1"/>
  <c r="BH27" i="52"/>
  <c r="BJ27" i="52" s="1"/>
  <c r="BK27" i="52" s="1"/>
  <c r="AD27" i="52"/>
  <c r="AF27" i="52" s="1"/>
  <c r="AG27" i="52" s="1"/>
  <c r="E27" i="52"/>
  <c r="G27" i="52" s="1"/>
  <c r="H27" i="52" s="1"/>
  <c r="AI27" i="52"/>
  <c r="AK27" i="52" s="1"/>
  <c r="AL27" i="52" s="1"/>
  <c r="Y27" i="52"/>
  <c r="AA27" i="52" s="1"/>
  <c r="AB27" i="52" s="1"/>
  <c r="BC27" i="52"/>
  <c r="BE27" i="52" s="1"/>
  <c r="BF27" i="52" s="1"/>
  <c r="AX27" i="52"/>
  <c r="T27" i="52"/>
  <c r="AS27" i="52"/>
  <c r="AU27" i="52" s="1"/>
  <c r="AV27" i="52" s="1"/>
  <c r="O27" i="52"/>
  <c r="AN27" i="52"/>
  <c r="J27" i="52"/>
  <c r="B31" i="52"/>
  <c r="B32" i="52"/>
  <c r="B33" i="52"/>
  <c r="AO10" i="52"/>
  <c r="AN10" i="52"/>
  <c r="AN9" i="52"/>
  <c r="AS8" i="52"/>
  <c r="AQ10" i="52"/>
  <c r="AP10" i="52"/>
  <c r="AA25" i="52"/>
  <c r="AB25" i="52" s="1"/>
  <c r="E28" i="52" l="1"/>
  <c r="B25" i="53"/>
  <c r="AA29" i="6"/>
  <c r="AB29" i="6" s="1"/>
  <c r="BJ29" i="6"/>
  <c r="BK29" i="6" s="1"/>
  <c r="AZ25" i="6"/>
  <c r="BA25" i="6" s="1"/>
  <c r="BM29" i="6"/>
  <c r="G29" i="6"/>
  <c r="H29" i="6" s="1"/>
  <c r="L25" i="6"/>
  <c r="M25" i="6" s="1"/>
  <c r="V29" i="6"/>
  <c r="W29" i="6" s="1"/>
  <c r="AP29" i="6"/>
  <c r="AQ29" i="6" s="1"/>
  <c r="Q25" i="6"/>
  <c r="R25" i="6" s="1"/>
  <c r="BO24" i="6"/>
  <c r="BP24" i="6" s="1"/>
  <c r="BM25" i="6"/>
  <c r="AU25" i="6"/>
  <c r="AV25" i="6" s="1"/>
  <c r="AK25" i="6"/>
  <c r="AL25" i="6" s="1"/>
  <c r="AS10" i="6"/>
  <c r="AX8" i="6"/>
  <c r="AV10" i="6"/>
  <c r="AS9" i="6"/>
  <c r="AU10" i="6"/>
  <c r="AT10" i="6"/>
  <c r="BM30" i="6"/>
  <c r="BO30" i="6" s="1"/>
  <c r="BP30" i="6" s="1"/>
  <c r="G30" i="6"/>
  <c r="H30" i="6" s="1"/>
  <c r="L29" i="6"/>
  <c r="M29" i="6" s="1"/>
  <c r="BE29" i="6"/>
  <c r="BF29" i="6" s="1"/>
  <c r="AP25" i="6"/>
  <c r="AQ25" i="6" s="1"/>
  <c r="AK29" i="6"/>
  <c r="AL29" i="6" s="1"/>
  <c r="AU29" i="6"/>
  <c r="AV29" i="6" s="1"/>
  <c r="AF29" i="6"/>
  <c r="AG29" i="6" s="1"/>
  <c r="G25" i="6"/>
  <c r="AA25" i="6"/>
  <c r="AB25" i="6" s="1"/>
  <c r="AZ29" i="6"/>
  <c r="BA29" i="6" s="1"/>
  <c r="Q29" i="6"/>
  <c r="R29" i="6" s="1"/>
  <c r="BH31" i="6"/>
  <c r="BJ31" i="6" s="1"/>
  <c r="BK31" i="6" s="1"/>
  <c r="AN31" i="6"/>
  <c r="AP31" i="6" s="1"/>
  <c r="AQ31" i="6" s="1"/>
  <c r="T31" i="6"/>
  <c r="V31" i="6" s="1"/>
  <c r="W31" i="6" s="1"/>
  <c r="Y31" i="6"/>
  <c r="AA31" i="6" s="1"/>
  <c r="AB31" i="6" s="1"/>
  <c r="E31" i="6"/>
  <c r="AX31" i="6"/>
  <c r="AZ31" i="6" s="1"/>
  <c r="BA31" i="6" s="1"/>
  <c r="BC31" i="6"/>
  <c r="BE31" i="6" s="1"/>
  <c r="BF31" i="6" s="1"/>
  <c r="AD31" i="6"/>
  <c r="AF31" i="6" s="1"/>
  <c r="AG31" i="6" s="1"/>
  <c r="AI31" i="6"/>
  <c r="AK31" i="6" s="1"/>
  <c r="AL31" i="6" s="1"/>
  <c r="O31" i="6"/>
  <c r="Q31" i="6" s="1"/>
  <c r="R31" i="6" s="1"/>
  <c r="J31" i="6"/>
  <c r="L31" i="6" s="1"/>
  <c r="M31" i="6" s="1"/>
  <c r="AS31" i="6"/>
  <c r="AU31" i="6" s="1"/>
  <c r="AV31" i="6" s="1"/>
  <c r="B32" i="6"/>
  <c r="G28" i="52"/>
  <c r="H28" i="52" s="1"/>
  <c r="AN32" i="52"/>
  <c r="AP32" i="52" s="1"/>
  <c r="AQ32" i="52" s="1"/>
  <c r="T32" i="52"/>
  <c r="V32" i="52" s="1"/>
  <c r="W32" i="52" s="1"/>
  <c r="AI32" i="52"/>
  <c r="AK32" i="52" s="1"/>
  <c r="AL32" i="52" s="1"/>
  <c r="E32" i="52"/>
  <c r="G32" i="52" s="1"/>
  <c r="H32" i="52" s="1"/>
  <c r="AX32" i="52"/>
  <c r="AZ32" i="52" s="1"/>
  <c r="BA32" i="52" s="1"/>
  <c r="AD32" i="52"/>
  <c r="AF32" i="52" s="1"/>
  <c r="AG32" i="52" s="1"/>
  <c r="BH32" i="52"/>
  <c r="BJ32" i="52" s="1"/>
  <c r="BK32" i="52" s="1"/>
  <c r="Y32" i="52"/>
  <c r="AA32" i="52" s="1"/>
  <c r="AB32" i="52" s="1"/>
  <c r="BC32" i="52"/>
  <c r="BE32" i="52" s="1"/>
  <c r="BF32" i="52" s="1"/>
  <c r="O32" i="52"/>
  <c r="Q32" i="52" s="1"/>
  <c r="R32" i="52" s="1"/>
  <c r="J32" i="52"/>
  <c r="L32" i="52" s="1"/>
  <c r="M32" i="52" s="1"/>
  <c r="AS32" i="52"/>
  <c r="AU32" i="52" s="1"/>
  <c r="AV32" i="52" s="1"/>
  <c r="AT10" i="52"/>
  <c r="AX8" i="52"/>
  <c r="AS9" i="52"/>
  <c r="AV10" i="52"/>
  <c r="AU10" i="52"/>
  <c r="AS10" i="52"/>
  <c r="BH28" i="52"/>
  <c r="AP27" i="52"/>
  <c r="AQ27" i="52" s="1"/>
  <c r="AN28" i="52"/>
  <c r="BH33" i="52"/>
  <c r="BJ33" i="52" s="1"/>
  <c r="BK33" i="52" s="1"/>
  <c r="O33" i="52"/>
  <c r="Q33" i="52" s="1"/>
  <c r="R33" i="52" s="1"/>
  <c r="AN33" i="52"/>
  <c r="AP33" i="52" s="1"/>
  <c r="AQ33" i="52" s="1"/>
  <c r="AD33" i="52"/>
  <c r="AF33" i="52" s="1"/>
  <c r="AG33" i="52" s="1"/>
  <c r="AX33" i="52"/>
  <c r="AZ33" i="52" s="1"/>
  <c r="BA33" i="52" s="1"/>
  <c r="J33" i="52"/>
  <c r="L33" i="52" s="1"/>
  <c r="M33" i="52" s="1"/>
  <c r="Y33" i="52"/>
  <c r="AA33" i="52" s="1"/>
  <c r="AB33" i="52" s="1"/>
  <c r="BC33" i="52"/>
  <c r="BE33" i="52" s="1"/>
  <c r="BF33" i="52" s="1"/>
  <c r="E33" i="52"/>
  <c r="G33" i="52" s="1"/>
  <c r="H33" i="52" s="1"/>
  <c r="AI33" i="52"/>
  <c r="AK33" i="52" s="1"/>
  <c r="AL33" i="52" s="1"/>
  <c r="T33" i="52"/>
  <c r="V33" i="52" s="1"/>
  <c r="W33" i="52" s="1"/>
  <c r="AS33" i="52"/>
  <c r="AU33" i="52" s="1"/>
  <c r="AV33" i="52" s="1"/>
  <c r="B34" i="52"/>
  <c r="L27" i="52"/>
  <c r="M27" i="52" s="1"/>
  <c r="J28" i="52"/>
  <c r="Q27" i="52"/>
  <c r="R27" i="52" s="1"/>
  <c r="O28" i="52"/>
  <c r="K54" i="35"/>
  <c r="L24" i="35"/>
  <c r="M24" i="35" s="1"/>
  <c r="Y28" i="52"/>
  <c r="AS31" i="52"/>
  <c r="BH31" i="52"/>
  <c r="AI31" i="52"/>
  <c r="E31" i="52"/>
  <c r="T31" i="52"/>
  <c r="AN31" i="52"/>
  <c r="AD31" i="52"/>
  <c r="Y31" i="52"/>
  <c r="BC31" i="52"/>
  <c r="J31" i="52"/>
  <c r="AX31" i="52"/>
  <c r="O31" i="52"/>
  <c r="V27" i="52"/>
  <c r="W27" i="52" s="1"/>
  <c r="T28" i="52"/>
  <c r="AI28" i="52"/>
  <c r="BC28" i="52"/>
  <c r="AD28" i="52"/>
  <c r="AZ27" i="52"/>
  <c r="BA27" i="52" s="1"/>
  <c r="AX28" i="52"/>
  <c r="AS28" i="52"/>
  <c r="B29" i="53" l="1"/>
  <c r="B30" i="53" s="1"/>
  <c r="B31" i="53" s="1"/>
  <c r="B32" i="53" s="1"/>
  <c r="B33" i="53" s="1"/>
  <c r="B34" i="53" s="1"/>
  <c r="B35" i="53" s="1"/>
  <c r="B36" i="53" s="1"/>
  <c r="B37" i="53" s="1"/>
  <c r="B38" i="53" s="1"/>
  <c r="B39" i="53" s="1"/>
  <c r="B41" i="53"/>
  <c r="B42" i="53" s="1"/>
  <c r="B44" i="53" s="1"/>
  <c r="B49" i="53" s="1"/>
  <c r="B50" i="53" s="1"/>
  <c r="B51" i="53" s="1"/>
  <c r="B52" i="53" s="1"/>
  <c r="B56" i="53" s="1"/>
  <c r="B57" i="53" s="1"/>
  <c r="B58" i="53" s="1"/>
  <c r="B59" i="53" s="1"/>
  <c r="B60" i="53" s="1"/>
  <c r="B61" i="53" s="1"/>
  <c r="B62" i="53" s="1"/>
  <c r="B64" i="53" s="1"/>
  <c r="B65" i="53" s="1"/>
  <c r="B69" i="53" s="1"/>
  <c r="B70" i="53" s="1"/>
  <c r="B71" i="53" s="1"/>
  <c r="B72" i="53" s="1"/>
  <c r="H25" i="6"/>
  <c r="BO29" i="6"/>
  <c r="BP29" i="6" s="1"/>
  <c r="BO25" i="6"/>
  <c r="BP25" i="6" s="1"/>
  <c r="J30" i="35"/>
  <c r="BM31" i="6"/>
  <c r="BO31" i="6" s="1"/>
  <c r="BP31" i="6" s="1"/>
  <c r="G31" i="6"/>
  <c r="H31" i="6" s="1"/>
  <c r="AX9" i="6"/>
  <c r="AZ10" i="6"/>
  <c r="BA10" i="6"/>
  <c r="AY10" i="6"/>
  <c r="AX10" i="6"/>
  <c r="BC8" i="6"/>
  <c r="BC32" i="6"/>
  <c r="BE32" i="6" s="1"/>
  <c r="BF32" i="6" s="1"/>
  <c r="AD32" i="6"/>
  <c r="AF32" i="6" s="1"/>
  <c r="AG32" i="6" s="1"/>
  <c r="E32" i="6"/>
  <c r="AX32" i="6"/>
  <c r="AS32" i="6"/>
  <c r="O32" i="6"/>
  <c r="AN32" i="6"/>
  <c r="J32" i="6"/>
  <c r="L32" i="6" s="1"/>
  <c r="M32" i="6" s="1"/>
  <c r="BH32" i="6"/>
  <c r="BJ32" i="6" s="1"/>
  <c r="BK32" i="6" s="1"/>
  <c r="AI32" i="6"/>
  <c r="AK32" i="6" s="1"/>
  <c r="AL32" i="6" s="1"/>
  <c r="Y32" i="6"/>
  <c r="AA32" i="6" s="1"/>
  <c r="AB32" i="6" s="1"/>
  <c r="T32" i="6"/>
  <c r="V32" i="6" s="1"/>
  <c r="W32" i="6" s="1"/>
  <c r="B36" i="6"/>
  <c r="AZ28" i="52"/>
  <c r="BA28" i="52" s="1"/>
  <c r="V31" i="52"/>
  <c r="W31" i="52" s="1"/>
  <c r="Q31" i="52"/>
  <c r="R31" i="52" s="1"/>
  <c r="AA28" i="52"/>
  <c r="AB28" i="52" s="1"/>
  <c r="AU28" i="52"/>
  <c r="AV28" i="52" s="1"/>
  <c r="L31" i="52"/>
  <c r="M31" i="52" s="1"/>
  <c r="BE31" i="52"/>
  <c r="BF31" i="52" s="1"/>
  <c r="Q28" i="52"/>
  <c r="R28" i="52" s="1"/>
  <c r="BC8" i="52"/>
  <c r="AY10" i="52"/>
  <c r="BA10" i="52"/>
  <c r="AZ10" i="52"/>
  <c r="AX10" i="52"/>
  <c r="AX9" i="52"/>
  <c r="G31" i="52"/>
  <c r="H31" i="52" s="1"/>
  <c r="AP28" i="52"/>
  <c r="AQ28" i="52" s="1"/>
  <c r="AK31" i="52"/>
  <c r="AL31" i="52" s="1"/>
  <c r="BJ31" i="52"/>
  <c r="BK31" i="52" s="1"/>
  <c r="BJ28" i="52"/>
  <c r="BK28" i="52" s="1"/>
  <c r="AU31" i="52"/>
  <c r="AV31" i="52" s="1"/>
  <c r="AZ31" i="52"/>
  <c r="BA31" i="52" s="1"/>
  <c r="AF28" i="52"/>
  <c r="AG28" i="52" s="1"/>
  <c r="V28" i="52"/>
  <c r="W28" i="52" s="1"/>
  <c r="AX34" i="52"/>
  <c r="AZ34" i="52" s="1"/>
  <c r="BA34" i="52" s="1"/>
  <c r="AD34" i="52"/>
  <c r="AF34" i="52" s="1"/>
  <c r="AG34" i="52" s="1"/>
  <c r="J34" i="52"/>
  <c r="L34" i="52" s="1"/>
  <c r="M34" i="52" s="1"/>
  <c r="AI34" i="52"/>
  <c r="AK34" i="52" s="1"/>
  <c r="AL34" i="52" s="1"/>
  <c r="AN34" i="52"/>
  <c r="AP34" i="52" s="1"/>
  <c r="AQ34" i="52" s="1"/>
  <c r="BC34" i="52"/>
  <c r="BE34" i="52" s="1"/>
  <c r="BF34" i="52" s="1"/>
  <c r="Y34" i="52"/>
  <c r="AA34" i="52" s="1"/>
  <c r="AB34" i="52" s="1"/>
  <c r="BH34" i="52"/>
  <c r="BJ34" i="52" s="1"/>
  <c r="BK34" i="52" s="1"/>
  <c r="O34" i="52"/>
  <c r="Q34" i="52" s="1"/>
  <c r="R34" i="52" s="1"/>
  <c r="AS34" i="52"/>
  <c r="AU34" i="52" s="1"/>
  <c r="AV34" i="52" s="1"/>
  <c r="T34" i="52"/>
  <c r="V34" i="52" s="1"/>
  <c r="W34" i="52" s="1"/>
  <c r="E34" i="52"/>
  <c r="G34" i="52" s="1"/>
  <c r="H34" i="52" s="1"/>
  <c r="B35" i="52"/>
  <c r="AA31" i="52"/>
  <c r="AB31" i="52" s="1"/>
  <c r="BE28" i="52"/>
  <c r="BF28" i="52" s="1"/>
  <c r="AF31" i="52"/>
  <c r="AG31" i="52" s="1"/>
  <c r="L28" i="52"/>
  <c r="M28" i="52" s="1"/>
  <c r="AK28" i="52"/>
  <c r="AL28" i="52" s="1"/>
  <c r="AP31" i="52"/>
  <c r="AQ31" i="52" s="1"/>
  <c r="J83" i="6" l="1"/>
  <c r="L83" i="6" s="1"/>
  <c r="M83" i="6" s="1"/>
  <c r="O83" i="6"/>
  <c r="Q83" i="6" s="1"/>
  <c r="R83" i="6" s="1"/>
  <c r="AN83" i="6"/>
  <c r="AP83" i="6" s="1"/>
  <c r="AQ83" i="6" s="1"/>
  <c r="E83" i="6"/>
  <c r="Y83" i="6"/>
  <c r="AA83" i="6" s="1"/>
  <c r="AB83" i="6" s="1"/>
  <c r="BH83" i="6"/>
  <c r="AD83" i="6"/>
  <c r="AF83" i="6" s="1"/>
  <c r="AG83" i="6" s="1"/>
  <c r="AI83" i="6"/>
  <c r="AK83" i="6" s="1"/>
  <c r="AL83" i="6" s="1"/>
  <c r="AS83" i="6"/>
  <c r="BC83" i="6"/>
  <c r="T83" i="6"/>
  <c r="V83" i="6" s="1"/>
  <c r="W83" i="6" s="1"/>
  <c r="AX83" i="6"/>
  <c r="BH33" i="6"/>
  <c r="Y33" i="6"/>
  <c r="AA33" i="6" s="1"/>
  <c r="AB33" i="6" s="1"/>
  <c r="BJ33" i="6"/>
  <c r="BK33" i="6" s="1"/>
  <c r="BH8" i="6"/>
  <c r="BF10" i="6"/>
  <c r="BD10" i="6"/>
  <c r="BE10" i="6"/>
  <c r="BC10" i="6"/>
  <c r="BC9" i="6"/>
  <c r="BC33" i="6"/>
  <c r="J33" i="6"/>
  <c r="AI33" i="6"/>
  <c r="AZ32" i="6"/>
  <c r="BA32" i="6" s="1"/>
  <c r="AX33" i="6"/>
  <c r="J31" i="35"/>
  <c r="L30" i="35"/>
  <c r="M30" i="35" s="1"/>
  <c r="AD33" i="6"/>
  <c r="AP32" i="6"/>
  <c r="AQ32" i="6" s="1"/>
  <c r="AN33" i="6"/>
  <c r="Q32" i="6"/>
  <c r="R32" i="6" s="1"/>
  <c r="O33" i="6"/>
  <c r="T33" i="6"/>
  <c r="AU32" i="6"/>
  <c r="AV32" i="6" s="1"/>
  <c r="AS33" i="6"/>
  <c r="T36" i="6"/>
  <c r="AN36" i="6"/>
  <c r="O36" i="6"/>
  <c r="BH36" i="6"/>
  <c r="AI36" i="6"/>
  <c r="J36" i="6"/>
  <c r="AS36" i="6"/>
  <c r="AD36" i="6"/>
  <c r="E36" i="6"/>
  <c r="AX36" i="6"/>
  <c r="Y36" i="6"/>
  <c r="BC36" i="6"/>
  <c r="B37" i="6"/>
  <c r="BM32" i="6"/>
  <c r="G32" i="6"/>
  <c r="H32" i="6" s="1"/>
  <c r="E33" i="6"/>
  <c r="J35" i="52"/>
  <c r="L35" i="52" s="1"/>
  <c r="M35" i="52" s="1"/>
  <c r="AS35" i="52"/>
  <c r="T35" i="52"/>
  <c r="V35" i="52" s="1"/>
  <c r="W35" i="52" s="1"/>
  <c r="BH35" i="52"/>
  <c r="BC35" i="52"/>
  <c r="BE35" i="52" s="1"/>
  <c r="BF35" i="52" s="1"/>
  <c r="O35" i="52"/>
  <c r="AD35" i="52"/>
  <c r="Y35" i="52"/>
  <c r="AA35" i="52" s="1"/>
  <c r="AB35" i="52" s="1"/>
  <c r="AX35" i="52"/>
  <c r="AN35" i="52"/>
  <c r="AP35" i="52" s="1"/>
  <c r="AQ35" i="52" s="1"/>
  <c r="AI35" i="52"/>
  <c r="AK35" i="52" s="1"/>
  <c r="AL35" i="52" s="1"/>
  <c r="E35" i="52"/>
  <c r="B36" i="52"/>
  <c r="BC9" i="52"/>
  <c r="BE10" i="52"/>
  <c r="BD10" i="52"/>
  <c r="BC10" i="52"/>
  <c r="BH8" i="52"/>
  <c r="BF10" i="52"/>
  <c r="AU83" i="6" l="1"/>
  <c r="AV83" i="6" s="1"/>
  <c r="AZ83" i="6"/>
  <c r="BA83" i="6" s="1"/>
  <c r="BJ83" i="6"/>
  <c r="BK83" i="6" s="1"/>
  <c r="BE83" i="6"/>
  <c r="BF83" i="6" s="1"/>
  <c r="G83" i="6"/>
  <c r="H83" i="6" s="1"/>
  <c r="BM83" i="6"/>
  <c r="AA36" i="6"/>
  <c r="AB36" i="6" s="1"/>
  <c r="AZ36" i="6"/>
  <c r="BA36" i="6" s="1"/>
  <c r="V33" i="6"/>
  <c r="W33" i="6" s="1"/>
  <c r="AK33" i="6"/>
  <c r="AL33" i="6" s="1"/>
  <c r="BM36" i="6"/>
  <c r="G36" i="6"/>
  <c r="H36" i="6" s="1"/>
  <c r="Q33" i="6"/>
  <c r="R33" i="6" s="1"/>
  <c r="L33" i="6"/>
  <c r="M33" i="6" s="1"/>
  <c r="AF36" i="6"/>
  <c r="AG36" i="6" s="1"/>
  <c r="BE33" i="6"/>
  <c r="BF33" i="6" s="1"/>
  <c r="AU36" i="6"/>
  <c r="AV36" i="6" s="1"/>
  <c r="AP33" i="6"/>
  <c r="AQ33" i="6" s="1"/>
  <c r="L36" i="6"/>
  <c r="M36" i="6" s="1"/>
  <c r="AK36" i="6"/>
  <c r="AL36" i="6" s="1"/>
  <c r="AF33" i="6"/>
  <c r="AG33" i="6" s="1"/>
  <c r="G33" i="6"/>
  <c r="H33" i="6" s="1"/>
  <c r="BJ36" i="6"/>
  <c r="BK36" i="6" s="1"/>
  <c r="Q36" i="6"/>
  <c r="R36" i="6" s="1"/>
  <c r="L31" i="35"/>
  <c r="M31" i="35" s="1"/>
  <c r="BO32" i="6"/>
  <c r="BP32" i="6" s="1"/>
  <c r="BM33" i="6"/>
  <c r="AP36" i="6"/>
  <c r="AQ36" i="6" s="1"/>
  <c r="BH10" i="6"/>
  <c r="BJ10" i="6"/>
  <c r="BI10" i="6"/>
  <c r="BH9" i="6"/>
  <c r="BK10" i="6"/>
  <c r="BH37" i="6"/>
  <c r="BJ37" i="6" s="1"/>
  <c r="BK37" i="6" s="1"/>
  <c r="T37" i="6"/>
  <c r="V37" i="6" s="1"/>
  <c r="W37" i="6" s="1"/>
  <c r="AN37" i="6"/>
  <c r="AP37" i="6" s="1"/>
  <c r="AQ37" i="6" s="1"/>
  <c r="O37" i="6"/>
  <c r="Q37" i="6" s="1"/>
  <c r="R37" i="6" s="1"/>
  <c r="AI37" i="6"/>
  <c r="AK37" i="6" s="1"/>
  <c r="AL37" i="6" s="1"/>
  <c r="E37" i="6"/>
  <c r="AD37" i="6"/>
  <c r="AF37" i="6" s="1"/>
  <c r="AG37" i="6" s="1"/>
  <c r="AS37" i="6"/>
  <c r="AU37" i="6" s="1"/>
  <c r="AV37" i="6" s="1"/>
  <c r="BC37" i="6"/>
  <c r="BE37" i="6" s="1"/>
  <c r="BF37" i="6" s="1"/>
  <c r="J37" i="6"/>
  <c r="L37" i="6" s="1"/>
  <c r="M37" i="6" s="1"/>
  <c r="AX37" i="6"/>
  <c r="AZ37" i="6" s="1"/>
  <c r="BA37" i="6" s="1"/>
  <c r="Y37" i="6"/>
  <c r="AA37" i="6" s="1"/>
  <c r="AB37" i="6" s="1"/>
  <c r="B38" i="6"/>
  <c r="V36" i="6"/>
  <c r="W36" i="6" s="1"/>
  <c r="BE36" i="6"/>
  <c r="BF36" i="6" s="1"/>
  <c r="AU33" i="6"/>
  <c r="AV33" i="6" s="1"/>
  <c r="AZ33" i="6"/>
  <c r="BA33" i="6" s="1"/>
  <c r="BI10" i="52"/>
  <c r="BH9" i="52"/>
  <c r="BK10" i="52"/>
  <c r="BJ10" i="52"/>
  <c r="BH10" i="52"/>
  <c r="Q35" i="52"/>
  <c r="R35" i="52" s="1"/>
  <c r="BJ35" i="52"/>
  <c r="BK35" i="52" s="1"/>
  <c r="AF35" i="52"/>
  <c r="AG35" i="52" s="1"/>
  <c r="BC37" i="52"/>
  <c r="G35" i="52"/>
  <c r="H35" i="52" s="1"/>
  <c r="AU35" i="52"/>
  <c r="AV35" i="52" s="1"/>
  <c r="T37" i="52"/>
  <c r="AX36" i="52"/>
  <c r="AZ36" i="52" s="1"/>
  <c r="BA36" i="52" s="1"/>
  <c r="AN36" i="52"/>
  <c r="AP36" i="52" s="1"/>
  <c r="AQ36" i="52" s="1"/>
  <c r="O36" i="52"/>
  <c r="Q36" i="52" s="1"/>
  <c r="R36" i="52" s="1"/>
  <c r="BH36" i="52"/>
  <c r="BJ36" i="52" s="1"/>
  <c r="BK36" i="52" s="1"/>
  <c r="AD36" i="52"/>
  <c r="AF36" i="52" s="1"/>
  <c r="AG36" i="52" s="1"/>
  <c r="Y36" i="52"/>
  <c r="AA36" i="52" s="1"/>
  <c r="AB36" i="52" s="1"/>
  <c r="BC36" i="52"/>
  <c r="BE36" i="52" s="1"/>
  <c r="BF36" i="52" s="1"/>
  <c r="T36" i="52"/>
  <c r="V36" i="52" s="1"/>
  <c r="W36" i="52" s="1"/>
  <c r="AI36" i="52"/>
  <c r="AK36" i="52" s="1"/>
  <c r="AL36" i="52" s="1"/>
  <c r="J36" i="52"/>
  <c r="L36" i="52" s="1"/>
  <c r="M36" i="52" s="1"/>
  <c r="E36" i="52"/>
  <c r="G36" i="52" s="1"/>
  <c r="H36" i="52" s="1"/>
  <c r="AS36" i="52"/>
  <c r="AU36" i="52" s="1"/>
  <c r="AV36" i="52" s="1"/>
  <c r="B40" i="52"/>
  <c r="J37" i="52"/>
  <c r="AZ35" i="52"/>
  <c r="BA35" i="52" s="1"/>
  <c r="AI37" i="52" l="1"/>
  <c r="AX37" i="52"/>
  <c r="BO83" i="6"/>
  <c r="BP83" i="6" s="1"/>
  <c r="J50" i="35"/>
  <c r="L50" i="35" s="1"/>
  <c r="M50" i="35" s="1"/>
  <c r="BH38" i="6"/>
  <c r="BJ38" i="6" s="1"/>
  <c r="BK38" i="6" s="1"/>
  <c r="AN38" i="6"/>
  <c r="T38" i="6"/>
  <c r="AI38" i="6"/>
  <c r="AK38" i="6" s="1"/>
  <c r="AL38" i="6" s="1"/>
  <c r="AS38" i="6"/>
  <c r="AD38" i="6"/>
  <c r="AF38" i="6" s="1"/>
  <c r="AG38" i="6" s="1"/>
  <c r="Y38" i="6"/>
  <c r="AA38" i="6" s="1"/>
  <c r="AB38" i="6" s="1"/>
  <c r="BC38" i="6"/>
  <c r="BE38" i="6" s="1"/>
  <c r="BF38" i="6" s="1"/>
  <c r="AX38" i="6"/>
  <c r="AZ38" i="6" s="1"/>
  <c r="BA38" i="6" s="1"/>
  <c r="E38" i="6"/>
  <c r="O38" i="6"/>
  <c r="J38" i="6"/>
  <c r="B39" i="6"/>
  <c r="F36" i="35"/>
  <c r="F42" i="35"/>
  <c r="E27" i="35"/>
  <c r="E30" i="35"/>
  <c r="F30" i="35"/>
  <c r="F31" i="35" s="1"/>
  <c r="F35" i="35"/>
  <c r="F45" i="35"/>
  <c r="F49" i="35"/>
  <c r="E34" i="35"/>
  <c r="F43" i="35"/>
  <c r="F50" i="35"/>
  <c r="E50" i="35"/>
  <c r="F27" i="35"/>
  <c r="F34" i="35"/>
  <c r="F38" i="35"/>
  <c r="F37" i="35"/>
  <c r="F44" i="35"/>
  <c r="BO36" i="6"/>
  <c r="BP36" i="6" s="1"/>
  <c r="BM37" i="6"/>
  <c r="BO37" i="6" s="1"/>
  <c r="BP37" i="6" s="1"/>
  <c r="G37" i="6"/>
  <c r="H37" i="6" s="1"/>
  <c r="J34" i="35"/>
  <c r="BO33" i="6"/>
  <c r="BP33" i="6" s="1"/>
  <c r="O37" i="52"/>
  <c r="AS37" i="52"/>
  <c r="L37" i="52"/>
  <c r="M37" i="52" s="1"/>
  <c r="AS40" i="52"/>
  <c r="T40" i="52"/>
  <c r="BC40" i="52"/>
  <c r="E40" i="52"/>
  <c r="AI40" i="52"/>
  <c r="Y40" i="52"/>
  <c r="BH40" i="52"/>
  <c r="O40" i="52"/>
  <c r="AX40" i="52"/>
  <c r="J40" i="52"/>
  <c r="AD40" i="52"/>
  <c r="AN40" i="52"/>
  <c r="B41" i="52"/>
  <c r="BE37" i="52"/>
  <c r="BF37" i="52" s="1"/>
  <c r="AD37" i="52"/>
  <c r="AN37" i="52"/>
  <c r="Y37" i="52"/>
  <c r="E20" i="35"/>
  <c r="E23" i="35"/>
  <c r="F20" i="35"/>
  <c r="E22" i="35"/>
  <c r="E19" i="35"/>
  <c r="E16" i="35"/>
  <c r="F14" i="35"/>
  <c r="F23" i="35"/>
  <c r="E14" i="35"/>
  <c r="F15" i="35"/>
  <c r="G15" i="35" s="1"/>
  <c r="H15" i="35" s="1"/>
  <c r="F19" i="35"/>
  <c r="G19" i="35" s="1"/>
  <c r="H19" i="35" s="1"/>
  <c r="F18" i="35"/>
  <c r="F16" i="35"/>
  <c r="G16" i="35" s="1"/>
  <c r="H16" i="35" s="1"/>
  <c r="F22" i="35"/>
  <c r="G22" i="35" s="1"/>
  <c r="H22" i="35" s="1"/>
  <c r="F21" i="35"/>
  <c r="E15" i="35"/>
  <c r="E21" i="35"/>
  <c r="F13" i="35"/>
  <c r="AK37" i="52"/>
  <c r="AL37" i="52" s="1"/>
  <c r="AZ37" i="52"/>
  <c r="BA37" i="52" s="1"/>
  <c r="BH37" i="52"/>
  <c r="V37" i="52"/>
  <c r="W37" i="52" s="1"/>
  <c r="E37" i="52"/>
  <c r="G50" i="35" l="1"/>
  <c r="H50" i="35" s="1"/>
  <c r="E31" i="35"/>
  <c r="G31" i="35" s="1"/>
  <c r="H31" i="35" s="1"/>
  <c r="G30" i="35"/>
  <c r="H30" i="35" s="1"/>
  <c r="G27" i="35"/>
  <c r="H27" i="35" s="1"/>
  <c r="AU38" i="6"/>
  <c r="AV38" i="6" s="1"/>
  <c r="L34" i="35"/>
  <c r="M34" i="35" s="1"/>
  <c r="G34" i="35"/>
  <c r="H34" i="35" s="1"/>
  <c r="L38" i="6"/>
  <c r="M38" i="6" s="1"/>
  <c r="Q38" i="6"/>
  <c r="R38" i="6" s="1"/>
  <c r="G38" i="6"/>
  <c r="H38" i="6" s="1"/>
  <c r="BM38" i="6"/>
  <c r="BO38" i="6" s="1"/>
  <c r="BP38" i="6" s="1"/>
  <c r="F39" i="35"/>
  <c r="F46" i="35"/>
  <c r="V38" i="6"/>
  <c r="W38" i="6" s="1"/>
  <c r="AP38" i="6"/>
  <c r="AQ38" i="6" s="1"/>
  <c r="BH39" i="6"/>
  <c r="BC39" i="6"/>
  <c r="J39" i="6"/>
  <c r="L39" i="6" s="1"/>
  <c r="M39" i="6" s="1"/>
  <c r="AX39" i="6"/>
  <c r="AZ39" i="6" s="1"/>
  <c r="BA39" i="6" s="1"/>
  <c r="Y39" i="6"/>
  <c r="AA39" i="6" s="1"/>
  <c r="AB39" i="6" s="1"/>
  <c r="T39" i="6"/>
  <c r="V39" i="6" s="1"/>
  <c r="W39" i="6" s="1"/>
  <c r="AS39" i="6"/>
  <c r="AU39" i="6" s="1"/>
  <c r="AV39" i="6" s="1"/>
  <c r="O39" i="6"/>
  <c r="Q39" i="6" s="1"/>
  <c r="R39" i="6" s="1"/>
  <c r="AN39" i="6"/>
  <c r="AP39" i="6" s="1"/>
  <c r="AQ39" i="6" s="1"/>
  <c r="AI39" i="6"/>
  <c r="AK39" i="6" s="1"/>
  <c r="AL39" i="6" s="1"/>
  <c r="AD39" i="6"/>
  <c r="E39" i="6"/>
  <c r="B40" i="6"/>
  <c r="AK40" i="52"/>
  <c r="AL40" i="52" s="1"/>
  <c r="G23" i="35"/>
  <c r="H23" i="35" s="1"/>
  <c r="AX41" i="52"/>
  <c r="AZ41" i="52" s="1"/>
  <c r="BA41" i="52" s="1"/>
  <c r="AD41" i="52"/>
  <c r="AF41" i="52" s="1"/>
  <c r="AG41" i="52" s="1"/>
  <c r="J41" i="52"/>
  <c r="L41" i="52" s="1"/>
  <c r="M41" i="52" s="1"/>
  <c r="T41" i="52"/>
  <c r="V41" i="52" s="1"/>
  <c r="W41" i="52" s="1"/>
  <c r="Y41" i="52"/>
  <c r="AA41" i="52" s="1"/>
  <c r="AB41" i="52" s="1"/>
  <c r="O41" i="52"/>
  <c r="Q41" i="52" s="1"/>
  <c r="R41" i="52" s="1"/>
  <c r="AI41" i="52"/>
  <c r="AK41" i="52" s="1"/>
  <c r="AL41" i="52" s="1"/>
  <c r="E41" i="52"/>
  <c r="G41" i="52" s="1"/>
  <c r="H41" i="52" s="1"/>
  <c r="BH41" i="52"/>
  <c r="BJ41" i="52" s="1"/>
  <c r="BK41" i="52" s="1"/>
  <c r="AS41" i="52"/>
  <c r="AU41" i="52" s="1"/>
  <c r="AV41" i="52" s="1"/>
  <c r="AN41" i="52"/>
  <c r="AP41" i="52" s="1"/>
  <c r="AQ41" i="52" s="1"/>
  <c r="BC41" i="52"/>
  <c r="BE41" i="52" s="1"/>
  <c r="BF41" i="52" s="1"/>
  <c r="B42" i="52"/>
  <c r="AU40" i="52"/>
  <c r="AV40" i="52" s="1"/>
  <c r="Q40" i="52"/>
  <c r="R40" i="52" s="1"/>
  <c r="AP37" i="52"/>
  <c r="AQ37" i="52" s="1"/>
  <c r="G40" i="52"/>
  <c r="H40" i="52" s="1"/>
  <c r="BE40" i="52"/>
  <c r="BF40" i="52" s="1"/>
  <c r="V40" i="52"/>
  <c r="W40" i="52" s="1"/>
  <c r="AP40" i="52"/>
  <c r="AQ40" i="52" s="1"/>
  <c r="BJ40" i="52"/>
  <c r="BK40" i="52" s="1"/>
  <c r="AF37" i="52"/>
  <c r="AG37" i="52" s="1"/>
  <c r="G14" i="35"/>
  <c r="H14" i="35" s="1"/>
  <c r="G21" i="35"/>
  <c r="H21" i="35" s="1"/>
  <c r="AF40" i="52"/>
  <c r="AG40" i="52" s="1"/>
  <c r="AA37" i="52"/>
  <c r="AB37" i="52" s="1"/>
  <c r="F17" i="35"/>
  <c r="G37" i="52"/>
  <c r="H37" i="52" s="1"/>
  <c r="L40" i="52"/>
  <c r="M40" i="52" s="1"/>
  <c r="AU37" i="52"/>
  <c r="AV37" i="52" s="1"/>
  <c r="BJ37" i="52"/>
  <c r="BK37" i="52" s="1"/>
  <c r="AA40" i="52"/>
  <c r="AB40" i="52" s="1"/>
  <c r="G20" i="35"/>
  <c r="H20" i="35" s="1"/>
  <c r="AZ40" i="52"/>
  <c r="BA40" i="52" s="1"/>
  <c r="Q37" i="52"/>
  <c r="R37" i="52" s="1"/>
  <c r="F52" i="35" l="1"/>
  <c r="BE39" i="6"/>
  <c r="BF39" i="6" s="1"/>
  <c r="AI40" i="6"/>
  <c r="BC40" i="6"/>
  <c r="BE40" i="6" s="1"/>
  <c r="BF40" i="6" s="1"/>
  <c r="AD40" i="6"/>
  <c r="AF40" i="6" s="1"/>
  <c r="AG40" i="6" s="1"/>
  <c r="O40" i="6"/>
  <c r="Q40" i="6" s="1"/>
  <c r="R40" i="6" s="1"/>
  <c r="AN40" i="6"/>
  <c r="J40" i="6"/>
  <c r="L40" i="6" s="1"/>
  <c r="M40" i="6" s="1"/>
  <c r="Y40" i="6"/>
  <c r="AA40" i="6" s="1"/>
  <c r="AB40" i="6" s="1"/>
  <c r="T40" i="6"/>
  <c r="AS40" i="6"/>
  <c r="E40" i="6"/>
  <c r="BH40" i="6"/>
  <c r="BJ40" i="6" s="1"/>
  <c r="BK40" i="6" s="1"/>
  <c r="AX40" i="6"/>
  <c r="B41" i="6"/>
  <c r="BJ39" i="6"/>
  <c r="BK39" i="6" s="1"/>
  <c r="BM39" i="6"/>
  <c r="BO39" i="6" s="1"/>
  <c r="BP39" i="6" s="1"/>
  <c r="G39" i="6"/>
  <c r="H39" i="6" s="1"/>
  <c r="AF39" i="6"/>
  <c r="AG39" i="6" s="1"/>
  <c r="BH42" i="52"/>
  <c r="BJ42" i="52" s="1"/>
  <c r="BK42" i="52" s="1"/>
  <c r="AN42" i="52"/>
  <c r="T42" i="52"/>
  <c r="V42" i="52" s="1"/>
  <c r="W42" i="52" s="1"/>
  <c r="Y42" i="52"/>
  <c r="AA42" i="52" s="1"/>
  <c r="AB42" i="52" s="1"/>
  <c r="AD42" i="52"/>
  <c r="AF42" i="52" s="1"/>
  <c r="AG42" i="52" s="1"/>
  <c r="AX42" i="52"/>
  <c r="AI42" i="52"/>
  <c r="AK42" i="52" s="1"/>
  <c r="AL42" i="52" s="1"/>
  <c r="AS42" i="52"/>
  <c r="AU42" i="52" s="1"/>
  <c r="AV42" i="52" s="1"/>
  <c r="E42" i="52"/>
  <c r="G42" i="52" s="1"/>
  <c r="H42" i="52" s="1"/>
  <c r="J42" i="52"/>
  <c r="O42" i="52"/>
  <c r="Q42" i="52" s="1"/>
  <c r="R42" i="52" s="1"/>
  <c r="BC42" i="52"/>
  <c r="BE42" i="52" s="1"/>
  <c r="BF42" i="52" s="1"/>
  <c r="B43" i="52"/>
  <c r="F24" i="35"/>
  <c r="BC41" i="6" l="1"/>
  <c r="BE41" i="6" s="1"/>
  <c r="BF41" i="6" s="1"/>
  <c r="AI41" i="6"/>
  <c r="AK41" i="6" s="1"/>
  <c r="AL41" i="6" s="1"/>
  <c r="O41" i="6"/>
  <c r="Q41" i="6" s="1"/>
  <c r="R41" i="6" s="1"/>
  <c r="J41" i="6"/>
  <c r="L41" i="6" s="1"/>
  <c r="M41" i="6" s="1"/>
  <c r="AD41" i="6"/>
  <c r="E41" i="6"/>
  <c r="BH41" i="6"/>
  <c r="Y41" i="6"/>
  <c r="AA41" i="6" s="1"/>
  <c r="AB41" i="6" s="1"/>
  <c r="AN41" i="6"/>
  <c r="AP41" i="6" s="1"/>
  <c r="AQ41" i="6" s="1"/>
  <c r="T41" i="6"/>
  <c r="V41" i="6" s="1"/>
  <c r="W41" i="6" s="1"/>
  <c r="AX41" i="6"/>
  <c r="AZ41" i="6" s="1"/>
  <c r="BA41" i="6" s="1"/>
  <c r="AS41" i="6"/>
  <c r="AU41" i="6" s="1"/>
  <c r="AV41" i="6" s="1"/>
  <c r="B42" i="6"/>
  <c r="AK40" i="6"/>
  <c r="AL40" i="6" s="1"/>
  <c r="V40" i="6"/>
  <c r="W40" i="6" s="1"/>
  <c r="AP40" i="6"/>
  <c r="AQ40" i="6" s="1"/>
  <c r="AZ40" i="6"/>
  <c r="BA40" i="6" s="1"/>
  <c r="G40" i="6"/>
  <c r="H40" i="6" s="1"/>
  <c r="BM40" i="6"/>
  <c r="AU40" i="6"/>
  <c r="AV40" i="6" s="1"/>
  <c r="AP42" i="52"/>
  <c r="AQ42" i="52" s="1"/>
  <c r="L42" i="52"/>
  <c r="M42" i="52" s="1"/>
  <c r="AX43" i="52"/>
  <c r="AZ43" i="52" s="1"/>
  <c r="BA43" i="52" s="1"/>
  <c r="T43" i="52"/>
  <c r="V43" i="52" s="1"/>
  <c r="W43" i="52" s="1"/>
  <c r="O43" i="52"/>
  <c r="Q43" i="52" s="1"/>
  <c r="R43" i="52" s="1"/>
  <c r="AI43" i="52"/>
  <c r="BH43" i="52"/>
  <c r="BJ43" i="52" s="1"/>
  <c r="BK43" i="52" s="1"/>
  <c r="AN43" i="52"/>
  <c r="AP43" i="52" s="1"/>
  <c r="AQ43" i="52" s="1"/>
  <c r="J43" i="52"/>
  <c r="L43" i="52" s="1"/>
  <c r="M43" i="52" s="1"/>
  <c r="BC43" i="52"/>
  <c r="AS43" i="52"/>
  <c r="E43" i="52"/>
  <c r="G43" i="52" s="1"/>
  <c r="H43" i="52" s="1"/>
  <c r="AD43" i="52"/>
  <c r="AF43" i="52" s="1"/>
  <c r="AG43" i="52" s="1"/>
  <c r="Y43" i="52"/>
  <c r="AA43" i="52" s="1"/>
  <c r="AB43" i="52" s="1"/>
  <c r="B44" i="52"/>
  <c r="AZ42" i="52"/>
  <c r="BA42" i="52" s="1"/>
  <c r="F54" i="35"/>
  <c r="BO40" i="6" l="1"/>
  <c r="BP40" i="6" s="1"/>
  <c r="BM41" i="6"/>
  <c r="BO41" i="6" s="1"/>
  <c r="BP41" i="6" s="1"/>
  <c r="G41" i="6"/>
  <c r="H41" i="6" s="1"/>
  <c r="AF41" i="6"/>
  <c r="AG41" i="6" s="1"/>
  <c r="BJ41" i="6"/>
  <c r="BK41" i="6" s="1"/>
  <c r="AD42" i="6"/>
  <c r="AF42" i="6" s="1"/>
  <c r="AG42" i="6" s="1"/>
  <c r="AX42" i="6"/>
  <c r="AZ42" i="6" s="1"/>
  <c r="BA42" i="6" s="1"/>
  <c r="E42" i="6"/>
  <c r="AS42" i="6"/>
  <c r="AU42" i="6" s="1"/>
  <c r="AV42" i="6" s="1"/>
  <c r="BC42" i="6"/>
  <c r="T42" i="6"/>
  <c r="V42" i="6" s="1"/>
  <c r="W42" i="6" s="1"/>
  <c r="J42" i="6"/>
  <c r="L42" i="6" s="1"/>
  <c r="M42" i="6" s="1"/>
  <c r="AN42" i="6"/>
  <c r="AP42" i="6" s="1"/>
  <c r="AQ42" i="6" s="1"/>
  <c r="AI42" i="6"/>
  <c r="Y42" i="6"/>
  <c r="AA42" i="6" s="1"/>
  <c r="AB42" i="6" s="1"/>
  <c r="O42" i="6"/>
  <c r="Q42" i="6" s="1"/>
  <c r="R42" i="6" s="1"/>
  <c r="BH42" i="6"/>
  <c r="BJ42" i="6" s="1"/>
  <c r="BK42" i="6" s="1"/>
  <c r="B43" i="6"/>
  <c r="AU43" i="52"/>
  <c r="AV43" i="52" s="1"/>
  <c r="AS44" i="52"/>
  <c r="AU44" i="52" s="1"/>
  <c r="AV44" i="52" s="1"/>
  <c r="Y44" i="52"/>
  <c r="E44" i="52"/>
  <c r="BC44" i="52"/>
  <c r="BE44" i="52" s="1"/>
  <c r="BF44" i="52" s="1"/>
  <c r="J44" i="52"/>
  <c r="T44" i="52"/>
  <c r="BH44" i="52"/>
  <c r="BJ44" i="52" s="1"/>
  <c r="BK44" i="52" s="1"/>
  <c r="O44" i="52"/>
  <c r="Q44" i="52" s="1"/>
  <c r="R44" i="52" s="1"/>
  <c r="AX44" i="52"/>
  <c r="AI44" i="52"/>
  <c r="AK44" i="52" s="1"/>
  <c r="AL44" i="52" s="1"/>
  <c r="AD44" i="52"/>
  <c r="AN44" i="52"/>
  <c r="AP44" i="52" s="1"/>
  <c r="AQ44" i="52" s="1"/>
  <c r="B45" i="52"/>
  <c r="BE43" i="52"/>
  <c r="BF43" i="52" s="1"/>
  <c r="AK43" i="52"/>
  <c r="AL43" i="52" s="1"/>
  <c r="AK42" i="6" l="1"/>
  <c r="AL42" i="6" s="1"/>
  <c r="G42" i="6"/>
  <c r="H42" i="6" s="1"/>
  <c r="BM42" i="6"/>
  <c r="BO42" i="6" s="1"/>
  <c r="BP42" i="6" s="1"/>
  <c r="BE42" i="6"/>
  <c r="BF42" i="6" s="1"/>
  <c r="E43" i="6"/>
  <c r="Y43" i="6"/>
  <c r="AA43" i="6" s="1"/>
  <c r="AB43" i="6" s="1"/>
  <c r="AS43" i="6"/>
  <c r="AU43" i="6" s="1"/>
  <c r="AV43" i="6" s="1"/>
  <c r="T43" i="6"/>
  <c r="V43" i="6" s="1"/>
  <c r="W43" i="6" s="1"/>
  <c r="AN43" i="6"/>
  <c r="AP43" i="6" s="1"/>
  <c r="AQ43" i="6" s="1"/>
  <c r="J43" i="6"/>
  <c r="L43" i="6" s="1"/>
  <c r="M43" i="6" s="1"/>
  <c r="BH43" i="6"/>
  <c r="O43" i="6"/>
  <c r="Q43" i="6" s="1"/>
  <c r="R43" i="6" s="1"/>
  <c r="BC43" i="6"/>
  <c r="BE43" i="6" s="1"/>
  <c r="BF43" i="6" s="1"/>
  <c r="AX43" i="6"/>
  <c r="AZ43" i="6" s="1"/>
  <c r="BA43" i="6" s="1"/>
  <c r="AI43" i="6"/>
  <c r="AK43" i="6" s="1"/>
  <c r="AL43" i="6" s="1"/>
  <c r="AD43" i="6"/>
  <c r="B44" i="6"/>
  <c r="L44" i="52"/>
  <c r="M44" i="52" s="1"/>
  <c r="BC45" i="52"/>
  <c r="AI45" i="52"/>
  <c r="O45" i="52"/>
  <c r="Q45" i="52" s="1"/>
  <c r="R45" i="52" s="1"/>
  <c r="J45" i="52"/>
  <c r="L45" i="52" s="1"/>
  <c r="M45" i="52" s="1"/>
  <c r="AX45" i="52"/>
  <c r="AZ45" i="52" s="1"/>
  <c r="BA45" i="52" s="1"/>
  <c r="E45" i="52"/>
  <c r="G45" i="52" s="1"/>
  <c r="H45" i="52" s="1"/>
  <c r="AD45" i="52"/>
  <c r="AF45" i="52" s="1"/>
  <c r="AG45" i="52" s="1"/>
  <c r="Y45" i="52"/>
  <c r="AA45" i="52" s="1"/>
  <c r="AB45" i="52" s="1"/>
  <c r="BH45" i="52"/>
  <c r="BJ45" i="52" s="1"/>
  <c r="BK45" i="52" s="1"/>
  <c r="T45" i="52"/>
  <c r="V45" i="52" s="1"/>
  <c r="W45" i="52" s="1"/>
  <c r="AS45" i="52"/>
  <c r="AU45" i="52" s="1"/>
  <c r="AV45" i="52" s="1"/>
  <c r="AN45" i="52"/>
  <c r="B49" i="52"/>
  <c r="AA44" i="52"/>
  <c r="AB44" i="52" s="1"/>
  <c r="AS46" i="52"/>
  <c r="V44" i="52"/>
  <c r="W44" i="52" s="1"/>
  <c r="AF44" i="52"/>
  <c r="AG44" i="52" s="1"/>
  <c r="AD46" i="52"/>
  <c r="G44" i="52"/>
  <c r="H44" i="52" s="1"/>
  <c r="AZ44" i="52"/>
  <c r="BA44" i="52" s="1"/>
  <c r="AX44" i="6" l="1"/>
  <c r="AZ44" i="6" s="1"/>
  <c r="BA44" i="6" s="1"/>
  <c r="AD44" i="6"/>
  <c r="AF44" i="6" s="1"/>
  <c r="AG44" i="6" s="1"/>
  <c r="J44" i="6"/>
  <c r="L44" i="6" s="1"/>
  <c r="M44" i="6" s="1"/>
  <c r="AS44" i="6"/>
  <c r="AU44" i="6" s="1"/>
  <c r="AV44" i="6" s="1"/>
  <c r="T44" i="6"/>
  <c r="V44" i="6" s="1"/>
  <c r="W44" i="6" s="1"/>
  <c r="BH44" i="6"/>
  <c r="BJ44" i="6" s="1"/>
  <c r="BK44" i="6" s="1"/>
  <c r="AI44" i="6"/>
  <c r="AK44" i="6" s="1"/>
  <c r="AL44" i="6" s="1"/>
  <c r="E44" i="6"/>
  <c r="O44" i="6"/>
  <c r="Q44" i="6" s="1"/>
  <c r="R44" i="6" s="1"/>
  <c r="Y44" i="6"/>
  <c r="AA44" i="6" s="1"/>
  <c r="AB44" i="6" s="1"/>
  <c r="AN44" i="6"/>
  <c r="AP44" i="6" s="1"/>
  <c r="AQ44" i="6" s="1"/>
  <c r="BC44" i="6"/>
  <c r="BE44" i="6" s="1"/>
  <c r="BF44" i="6" s="1"/>
  <c r="B45" i="6"/>
  <c r="AF43" i="6"/>
  <c r="AG43" i="6" s="1"/>
  <c r="BJ43" i="6"/>
  <c r="BK43" i="6" s="1"/>
  <c r="G43" i="6"/>
  <c r="H43" i="6" s="1"/>
  <c r="BM43" i="6"/>
  <c r="BO43" i="6" s="1"/>
  <c r="BP43" i="6" s="1"/>
  <c r="T46" i="52"/>
  <c r="AU46" i="52"/>
  <c r="AV46" i="52" s="1"/>
  <c r="Y46" i="52"/>
  <c r="BH46" i="52"/>
  <c r="O46" i="52"/>
  <c r="AK45" i="52"/>
  <c r="AL45" i="52" s="1"/>
  <c r="AI46" i="52"/>
  <c r="AX46" i="52"/>
  <c r="BH49" i="52"/>
  <c r="AN49" i="52"/>
  <c r="T49" i="52"/>
  <c r="AI49" i="52"/>
  <c r="J49" i="52"/>
  <c r="AS49" i="52"/>
  <c r="Y49" i="52"/>
  <c r="O49" i="52"/>
  <c r="BC49" i="52"/>
  <c r="AX49" i="52"/>
  <c r="AD49" i="52"/>
  <c r="E49" i="52"/>
  <c r="B50" i="52"/>
  <c r="BE45" i="52"/>
  <c r="BF45" i="52" s="1"/>
  <c r="BC46" i="52"/>
  <c r="AF46" i="52"/>
  <c r="AG46" i="52" s="1"/>
  <c r="AP45" i="52"/>
  <c r="AQ45" i="52" s="1"/>
  <c r="AN46" i="52"/>
  <c r="J46" i="52"/>
  <c r="E46" i="52"/>
  <c r="BM44" i="6" l="1"/>
  <c r="BO44" i="6" s="1"/>
  <c r="BP44" i="6" s="1"/>
  <c r="G44" i="6"/>
  <c r="H44" i="6" s="1"/>
  <c r="T45" i="6"/>
  <c r="V45" i="6" s="1"/>
  <c r="W45" i="6" s="1"/>
  <c r="AN45" i="6"/>
  <c r="AP45" i="6" s="1"/>
  <c r="AQ45" i="6" s="1"/>
  <c r="BH45" i="6"/>
  <c r="BJ45" i="6" s="1"/>
  <c r="BK45" i="6" s="1"/>
  <c r="AI45" i="6"/>
  <c r="AK45" i="6" s="1"/>
  <c r="AL45" i="6" s="1"/>
  <c r="AD45" i="6"/>
  <c r="AF45" i="6" s="1"/>
  <c r="AG45" i="6" s="1"/>
  <c r="AX45" i="6"/>
  <c r="AZ45" i="6" s="1"/>
  <c r="BA45" i="6" s="1"/>
  <c r="E45" i="6"/>
  <c r="O45" i="6"/>
  <c r="Q45" i="6" s="1"/>
  <c r="R45" i="6" s="1"/>
  <c r="AS45" i="6"/>
  <c r="AU45" i="6" s="1"/>
  <c r="AV45" i="6" s="1"/>
  <c r="J45" i="6"/>
  <c r="L45" i="6" s="1"/>
  <c r="M45" i="6" s="1"/>
  <c r="BC45" i="6"/>
  <c r="BE45" i="6" s="1"/>
  <c r="BF45" i="6" s="1"/>
  <c r="Y45" i="6"/>
  <c r="AA45" i="6" s="1"/>
  <c r="AB45" i="6" s="1"/>
  <c r="B46" i="6"/>
  <c r="AF49" i="52"/>
  <c r="AG49" i="52" s="1"/>
  <c r="AK46" i="52"/>
  <c r="AL46" i="52" s="1"/>
  <c r="V49" i="52"/>
  <c r="W49" i="52" s="1"/>
  <c r="BJ49" i="52"/>
  <c r="BK49" i="52" s="1"/>
  <c r="AZ49" i="52"/>
  <c r="BA49" i="52" s="1"/>
  <c r="G46" i="52"/>
  <c r="H46" i="52" s="1"/>
  <c r="L46" i="52"/>
  <c r="M46" i="52" s="1"/>
  <c r="Q49" i="52"/>
  <c r="R49" i="52" s="1"/>
  <c r="BJ46" i="52"/>
  <c r="BK46" i="52" s="1"/>
  <c r="AP49" i="52"/>
  <c r="AQ49" i="52" s="1"/>
  <c r="G49" i="52"/>
  <c r="H49" i="52" s="1"/>
  <c r="BE49" i="52"/>
  <c r="BF49" i="52" s="1"/>
  <c r="AP46" i="52"/>
  <c r="AQ46" i="52" s="1"/>
  <c r="AA49" i="52"/>
  <c r="AB49" i="52" s="1"/>
  <c r="AA46" i="52"/>
  <c r="AB46" i="52" s="1"/>
  <c r="BE46" i="52"/>
  <c r="BF46" i="52" s="1"/>
  <c r="Y50" i="52"/>
  <c r="AA50" i="52" s="1"/>
  <c r="AB50" i="52" s="1"/>
  <c r="AS50" i="52"/>
  <c r="AU50" i="52" s="1"/>
  <c r="AV50" i="52" s="1"/>
  <c r="T50" i="52"/>
  <c r="V50" i="52" s="1"/>
  <c r="W50" i="52" s="1"/>
  <c r="E50" i="52"/>
  <c r="G50" i="52" s="1"/>
  <c r="H50" i="52" s="1"/>
  <c r="AN50" i="52"/>
  <c r="AP50" i="52" s="1"/>
  <c r="AQ50" i="52" s="1"/>
  <c r="AI50" i="52"/>
  <c r="AK50" i="52" s="1"/>
  <c r="AL50" i="52" s="1"/>
  <c r="AD50" i="52"/>
  <c r="AF50" i="52" s="1"/>
  <c r="AG50" i="52" s="1"/>
  <c r="O50" i="52"/>
  <c r="Q50" i="52" s="1"/>
  <c r="R50" i="52" s="1"/>
  <c r="J50" i="52"/>
  <c r="L50" i="52" s="1"/>
  <c r="M50" i="52" s="1"/>
  <c r="BC50" i="52"/>
  <c r="BE50" i="52" s="1"/>
  <c r="BF50" i="52" s="1"/>
  <c r="BH50" i="52"/>
  <c r="BJ50" i="52" s="1"/>
  <c r="BK50" i="52" s="1"/>
  <c r="AX50" i="52"/>
  <c r="AZ50" i="52" s="1"/>
  <c r="BA50" i="52" s="1"/>
  <c r="B51" i="52"/>
  <c r="AZ46" i="52"/>
  <c r="BA46" i="52" s="1"/>
  <c r="Q46" i="52"/>
  <c r="R46" i="52" s="1"/>
  <c r="AU49" i="52"/>
  <c r="AV49" i="52" s="1"/>
  <c r="L49" i="52"/>
  <c r="M49" i="52" s="1"/>
  <c r="AK49" i="52"/>
  <c r="AL49" i="52" s="1"/>
  <c r="V46" i="52"/>
  <c r="W46" i="52" s="1"/>
  <c r="BM45" i="6" l="1"/>
  <c r="BO45" i="6" s="1"/>
  <c r="BP45" i="6" s="1"/>
  <c r="G45" i="6"/>
  <c r="H45" i="6" s="1"/>
  <c r="AN46" i="6"/>
  <c r="BH46" i="6"/>
  <c r="O46" i="6"/>
  <c r="BC46" i="6"/>
  <c r="J46" i="6"/>
  <c r="AD46" i="6"/>
  <c r="Y46" i="6"/>
  <c r="T46" i="6"/>
  <c r="AX46" i="6"/>
  <c r="AS46" i="6"/>
  <c r="AI46" i="6"/>
  <c r="E46" i="6"/>
  <c r="B49" i="6"/>
  <c r="AS51" i="52"/>
  <c r="AU51" i="52" s="1"/>
  <c r="AV51" i="52" s="1"/>
  <c r="Y51" i="52"/>
  <c r="AA51" i="52" s="1"/>
  <c r="AB51" i="52" s="1"/>
  <c r="E51" i="52"/>
  <c r="G51" i="52" s="1"/>
  <c r="H51" i="52" s="1"/>
  <c r="AD51" i="52"/>
  <c r="AX51" i="52"/>
  <c r="BH51" i="52"/>
  <c r="BJ51" i="52" s="1"/>
  <c r="BK51" i="52" s="1"/>
  <c r="T51" i="52"/>
  <c r="V51" i="52" s="1"/>
  <c r="W51" i="52" s="1"/>
  <c r="J51" i="52"/>
  <c r="L51" i="52" s="1"/>
  <c r="M51" i="52" s="1"/>
  <c r="AN51" i="52"/>
  <c r="O51" i="52"/>
  <c r="Q51" i="52" s="1"/>
  <c r="R51" i="52" s="1"/>
  <c r="BC51" i="52"/>
  <c r="AI51" i="52"/>
  <c r="B52" i="52"/>
  <c r="AU46" i="6" l="1"/>
  <c r="AV46" i="6" s="1"/>
  <c r="AS47" i="6"/>
  <c r="L46" i="6"/>
  <c r="M46" i="6" s="1"/>
  <c r="J47" i="6"/>
  <c r="AZ46" i="6"/>
  <c r="BA46" i="6" s="1"/>
  <c r="AX47" i="6"/>
  <c r="V46" i="6"/>
  <c r="W46" i="6" s="1"/>
  <c r="T47" i="6"/>
  <c r="AA46" i="6"/>
  <c r="AB46" i="6" s="1"/>
  <c r="Y47" i="6"/>
  <c r="AF46" i="6"/>
  <c r="AG46" i="6" s="1"/>
  <c r="AD47" i="6"/>
  <c r="BE46" i="6"/>
  <c r="BF46" i="6" s="1"/>
  <c r="BC47" i="6"/>
  <c r="Q46" i="6"/>
  <c r="R46" i="6" s="1"/>
  <c r="O47" i="6"/>
  <c r="BJ46" i="6"/>
  <c r="BK46" i="6" s="1"/>
  <c r="BH47" i="6"/>
  <c r="BH49" i="6"/>
  <c r="AN49" i="6"/>
  <c r="AP49" i="6" s="1"/>
  <c r="AQ49" i="6" s="1"/>
  <c r="AS49" i="6"/>
  <c r="AU49" i="6" s="1"/>
  <c r="AV49" i="6" s="1"/>
  <c r="BC49" i="6"/>
  <c r="BE49" i="6" s="1"/>
  <c r="BF49" i="6" s="1"/>
  <c r="AD49" i="6"/>
  <c r="AF49" i="6" s="1"/>
  <c r="AG49" i="6" s="1"/>
  <c r="E49" i="6"/>
  <c r="T49" i="6"/>
  <c r="V49" i="6" s="1"/>
  <c r="W49" i="6" s="1"/>
  <c r="AX49" i="6"/>
  <c r="AZ49" i="6" s="1"/>
  <c r="BA49" i="6" s="1"/>
  <c r="O49" i="6"/>
  <c r="Y49" i="6"/>
  <c r="AA49" i="6" s="1"/>
  <c r="AB49" i="6" s="1"/>
  <c r="J49" i="6"/>
  <c r="AI49" i="6"/>
  <c r="AK49" i="6" s="1"/>
  <c r="AL49" i="6" s="1"/>
  <c r="B50" i="6"/>
  <c r="AP46" i="6"/>
  <c r="AQ46" i="6" s="1"/>
  <c r="AN47" i="6"/>
  <c r="BM46" i="6"/>
  <c r="G46" i="6"/>
  <c r="H46" i="6" s="1"/>
  <c r="E47" i="6"/>
  <c r="AK46" i="6"/>
  <c r="AL46" i="6" s="1"/>
  <c r="AI47" i="6"/>
  <c r="BC52" i="52"/>
  <c r="BE52" i="52" s="1"/>
  <c r="BF52" i="52" s="1"/>
  <c r="AI52" i="52"/>
  <c r="AK52" i="52" s="1"/>
  <c r="AL52" i="52" s="1"/>
  <c r="O52" i="52"/>
  <c r="Q52" i="52" s="1"/>
  <c r="R52" i="52" s="1"/>
  <c r="AD52" i="52"/>
  <c r="AF52" i="52" s="1"/>
  <c r="AG52" i="52" s="1"/>
  <c r="AN52" i="52"/>
  <c r="AP52" i="52" s="1"/>
  <c r="AQ52" i="52" s="1"/>
  <c r="AS52" i="52"/>
  <c r="AU52" i="52" s="1"/>
  <c r="AV52" i="52" s="1"/>
  <c r="J52" i="52"/>
  <c r="L52" i="52" s="1"/>
  <c r="M52" i="52" s="1"/>
  <c r="Y52" i="52"/>
  <c r="AA52" i="52" s="1"/>
  <c r="AB52" i="52" s="1"/>
  <c r="T52" i="52"/>
  <c r="V52" i="52" s="1"/>
  <c r="W52" i="52" s="1"/>
  <c r="E52" i="52"/>
  <c r="G52" i="52" s="1"/>
  <c r="H52" i="52" s="1"/>
  <c r="AX52" i="52"/>
  <c r="AZ52" i="52" s="1"/>
  <c r="BA52" i="52" s="1"/>
  <c r="BH52" i="52"/>
  <c r="B53" i="52"/>
  <c r="AZ51" i="52"/>
  <c r="BA51" i="52" s="1"/>
  <c r="AK51" i="52"/>
  <c r="AL51" i="52" s="1"/>
  <c r="AP51" i="52"/>
  <c r="AQ51" i="52" s="1"/>
  <c r="AF51" i="52"/>
  <c r="AG51" i="52" s="1"/>
  <c r="BE51" i="52"/>
  <c r="BF51" i="52" s="1"/>
  <c r="G47" i="6" l="1"/>
  <c r="H47" i="6" s="1"/>
  <c r="BO46" i="6"/>
  <c r="BP46" i="6" s="1"/>
  <c r="BM47" i="6"/>
  <c r="V47" i="6"/>
  <c r="W47" i="6" s="1"/>
  <c r="BJ49" i="6"/>
  <c r="BK49" i="6" s="1"/>
  <c r="E36" i="35"/>
  <c r="G36" i="35" s="1"/>
  <c r="H36" i="35" s="1"/>
  <c r="BJ47" i="6"/>
  <c r="BK47" i="6" s="1"/>
  <c r="E35" i="35"/>
  <c r="AZ47" i="6"/>
  <c r="BA47" i="6" s="1"/>
  <c r="Q49" i="6"/>
  <c r="R49" i="6" s="1"/>
  <c r="G49" i="6"/>
  <c r="H49" i="6" s="1"/>
  <c r="BM49" i="6"/>
  <c r="AF47" i="6"/>
  <c r="AG47" i="6" s="1"/>
  <c r="AA47" i="6"/>
  <c r="AB47" i="6" s="1"/>
  <c r="AP47" i="6"/>
  <c r="AQ47" i="6" s="1"/>
  <c r="T50" i="6"/>
  <c r="V50" i="6" s="1"/>
  <c r="W50" i="6" s="1"/>
  <c r="O50" i="6"/>
  <c r="Q50" i="6" s="1"/>
  <c r="R50" i="6" s="1"/>
  <c r="J50" i="6"/>
  <c r="L50" i="6" s="1"/>
  <c r="M50" i="6" s="1"/>
  <c r="AI50" i="6"/>
  <c r="AK50" i="6" s="1"/>
  <c r="AL50" i="6" s="1"/>
  <c r="BH50" i="6"/>
  <c r="BH51" i="6" s="1"/>
  <c r="BC50" i="6"/>
  <c r="BE50" i="6" s="1"/>
  <c r="BF50" i="6" s="1"/>
  <c r="Y50" i="6"/>
  <c r="AA50" i="6" s="1"/>
  <c r="AB50" i="6" s="1"/>
  <c r="E50" i="6"/>
  <c r="AD50" i="6"/>
  <c r="AF50" i="6" s="1"/>
  <c r="AG50" i="6" s="1"/>
  <c r="AX50" i="6"/>
  <c r="AZ50" i="6" s="1"/>
  <c r="BA50" i="6" s="1"/>
  <c r="AS50" i="6"/>
  <c r="AU50" i="6" s="1"/>
  <c r="AV50" i="6" s="1"/>
  <c r="AN50" i="6"/>
  <c r="AP50" i="6" s="1"/>
  <c r="AQ50" i="6" s="1"/>
  <c r="B52" i="6"/>
  <c r="L49" i="6"/>
  <c r="M49" i="6" s="1"/>
  <c r="Q47" i="6"/>
  <c r="R47" i="6" s="1"/>
  <c r="O51" i="6"/>
  <c r="Q51" i="6" s="1"/>
  <c r="R51" i="6" s="1"/>
  <c r="L47" i="6"/>
  <c r="M47" i="6" s="1"/>
  <c r="J51" i="6"/>
  <c r="L51" i="6" s="1"/>
  <c r="M51" i="6" s="1"/>
  <c r="AK47" i="6"/>
  <c r="AL47" i="6" s="1"/>
  <c r="BE47" i="6"/>
  <c r="BF47" i="6" s="1"/>
  <c r="AU47" i="6"/>
  <c r="AV47" i="6" s="1"/>
  <c r="BJ52" i="52"/>
  <c r="BK52" i="52" s="1"/>
  <c r="AS53" i="52"/>
  <c r="AU53" i="52" s="1"/>
  <c r="AV53" i="52" s="1"/>
  <c r="Y53" i="52"/>
  <c r="AA53" i="52" s="1"/>
  <c r="AB53" i="52" s="1"/>
  <c r="E53" i="52"/>
  <c r="G53" i="52" s="1"/>
  <c r="H53" i="52" s="1"/>
  <c r="AD53" i="52"/>
  <c r="BC53" i="52"/>
  <c r="AX53" i="52"/>
  <c r="AZ53" i="52" s="1"/>
  <c r="BA53" i="52" s="1"/>
  <c r="O53" i="52"/>
  <c r="AN53" i="52"/>
  <c r="BH53" i="52"/>
  <c r="BJ53" i="52" s="1"/>
  <c r="BK53" i="52" s="1"/>
  <c r="J53" i="52"/>
  <c r="T53" i="52"/>
  <c r="V53" i="52" s="1"/>
  <c r="W53" i="52" s="1"/>
  <c r="AI53" i="52"/>
  <c r="B54" i="52"/>
  <c r="AS51" i="6" l="1"/>
  <c r="AS53" i="6" s="1"/>
  <c r="Y51" i="6"/>
  <c r="BC51" i="6"/>
  <c r="BE51" i="6" s="1"/>
  <c r="BF51" i="6" s="1"/>
  <c r="AI51" i="6"/>
  <c r="G35" i="35"/>
  <c r="H35" i="35" s="1"/>
  <c r="AD51" i="6"/>
  <c r="BJ50" i="6"/>
  <c r="BK50" i="6" s="1"/>
  <c r="E37" i="35"/>
  <c r="G37" i="35" s="1"/>
  <c r="H37" i="35" s="1"/>
  <c r="T51" i="6"/>
  <c r="AU51" i="6"/>
  <c r="AV51" i="6" s="1"/>
  <c r="BC52" i="6"/>
  <c r="BE52" i="6" s="1"/>
  <c r="BF52" i="6" s="1"/>
  <c r="AI52" i="6"/>
  <c r="AK52" i="6" s="1"/>
  <c r="AL52" i="6" s="1"/>
  <c r="O52" i="6"/>
  <c r="Q52" i="6" s="1"/>
  <c r="R52" i="6" s="1"/>
  <c r="AS52" i="6"/>
  <c r="AU52" i="6" s="1"/>
  <c r="AV52" i="6" s="1"/>
  <c r="AN52" i="6"/>
  <c r="AP52" i="6" s="1"/>
  <c r="AQ52" i="6" s="1"/>
  <c r="AX52" i="6"/>
  <c r="AZ52" i="6" s="1"/>
  <c r="BA52" i="6" s="1"/>
  <c r="Y52" i="6"/>
  <c r="AA52" i="6" s="1"/>
  <c r="AB52" i="6" s="1"/>
  <c r="T52" i="6"/>
  <c r="V52" i="6" s="1"/>
  <c r="W52" i="6" s="1"/>
  <c r="J52" i="6"/>
  <c r="L52" i="6" s="1"/>
  <c r="M52" i="6" s="1"/>
  <c r="AD52" i="6"/>
  <c r="AF52" i="6" s="1"/>
  <c r="AG52" i="6" s="1"/>
  <c r="E52" i="6"/>
  <c r="BH52" i="6"/>
  <c r="B56" i="6"/>
  <c r="AN51" i="6"/>
  <c r="BJ51" i="6"/>
  <c r="BK51" i="6" s="1"/>
  <c r="AA51" i="6"/>
  <c r="AB51" i="6" s="1"/>
  <c r="AK51" i="6"/>
  <c r="AL51" i="6" s="1"/>
  <c r="BM50" i="6"/>
  <c r="G50" i="6"/>
  <c r="H50" i="6" s="1"/>
  <c r="J36" i="35"/>
  <c r="L36" i="35" s="1"/>
  <c r="M36" i="35" s="1"/>
  <c r="BO49" i="6"/>
  <c r="BP49" i="6" s="1"/>
  <c r="BO47" i="6"/>
  <c r="BP47" i="6" s="1"/>
  <c r="J35" i="35"/>
  <c r="O53" i="6"/>
  <c r="E51" i="6"/>
  <c r="AX51" i="6"/>
  <c r="AF53" i="52"/>
  <c r="AG53" i="52" s="1"/>
  <c r="AK53" i="52"/>
  <c r="AL53" i="52" s="1"/>
  <c r="L53" i="52"/>
  <c r="M53" i="52" s="1"/>
  <c r="AP53" i="52"/>
  <c r="AQ53" i="52" s="1"/>
  <c r="Q53" i="52"/>
  <c r="R53" i="52" s="1"/>
  <c r="BE53" i="52"/>
  <c r="BF53" i="52" s="1"/>
  <c r="BC55" i="52"/>
  <c r="BH54" i="52"/>
  <c r="BJ54" i="52" s="1"/>
  <c r="BK54" i="52" s="1"/>
  <c r="AN54" i="52"/>
  <c r="AP54" i="52" s="1"/>
  <c r="AQ54" i="52" s="1"/>
  <c r="T54" i="52"/>
  <c r="V54" i="52" s="1"/>
  <c r="W54" i="52" s="1"/>
  <c r="J54" i="52"/>
  <c r="L54" i="52" s="1"/>
  <c r="M54" i="52" s="1"/>
  <c r="AS54" i="52"/>
  <c r="AU54" i="52" s="1"/>
  <c r="AV54" i="52" s="1"/>
  <c r="AI54" i="52"/>
  <c r="AK54" i="52" s="1"/>
  <c r="AL54" i="52" s="1"/>
  <c r="AD54" i="52"/>
  <c r="AF54" i="52" s="1"/>
  <c r="AG54" i="52" s="1"/>
  <c r="Y54" i="52"/>
  <c r="AA54" i="52" s="1"/>
  <c r="AB54" i="52" s="1"/>
  <c r="O54" i="52"/>
  <c r="Q54" i="52" s="1"/>
  <c r="R54" i="52" s="1"/>
  <c r="BC54" i="52"/>
  <c r="BE54" i="52" s="1"/>
  <c r="BF54" i="52" s="1"/>
  <c r="E54" i="52"/>
  <c r="G54" i="52" s="1"/>
  <c r="H54" i="52" s="1"/>
  <c r="AX54" i="52"/>
  <c r="B63" i="52"/>
  <c r="E55" i="52"/>
  <c r="T55" i="52" l="1"/>
  <c r="AN55" i="52"/>
  <c r="L35" i="35"/>
  <c r="M35" i="35" s="1"/>
  <c r="AP51" i="6"/>
  <c r="AQ51" i="6" s="1"/>
  <c r="AN53" i="6"/>
  <c r="T53" i="6"/>
  <c r="V51" i="6"/>
  <c r="W51" i="6" s="1"/>
  <c r="BO50" i="6"/>
  <c r="BP50" i="6" s="1"/>
  <c r="J37" i="35"/>
  <c r="L37" i="35" s="1"/>
  <c r="M37" i="35" s="1"/>
  <c r="AD53" i="6"/>
  <c r="AF51" i="6"/>
  <c r="AG51" i="6" s="1"/>
  <c r="J53" i="6"/>
  <c r="Y53" i="6"/>
  <c r="BC53" i="6"/>
  <c r="E53" i="6"/>
  <c r="G51" i="6"/>
  <c r="H51" i="6" s="1"/>
  <c r="BH56" i="6"/>
  <c r="AN56" i="6"/>
  <c r="T56" i="6"/>
  <c r="O56" i="6"/>
  <c r="AX56" i="6"/>
  <c r="Y56" i="6"/>
  <c r="AS56" i="6"/>
  <c r="J56" i="6"/>
  <c r="E56" i="6"/>
  <c r="BC56" i="6"/>
  <c r="AI56" i="6"/>
  <c r="AD56" i="6"/>
  <c r="B57" i="6"/>
  <c r="BJ52" i="6"/>
  <c r="BK52" i="6" s="1"/>
  <c r="E38" i="35"/>
  <c r="G38" i="35" s="1"/>
  <c r="H38" i="35" s="1"/>
  <c r="BM52" i="6"/>
  <c r="AU53" i="6"/>
  <c r="AV53" i="6" s="1"/>
  <c r="AX53" i="6"/>
  <c r="AZ51" i="6"/>
  <c r="BA51" i="6" s="1"/>
  <c r="AI53" i="6"/>
  <c r="Q53" i="6"/>
  <c r="R53" i="6" s="1"/>
  <c r="BM51" i="6"/>
  <c r="BH53" i="6"/>
  <c r="AX63" i="52"/>
  <c r="AZ63" i="52" s="1"/>
  <c r="BA63" i="52" s="1"/>
  <c r="AD63" i="52"/>
  <c r="AF63" i="52" s="1"/>
  <c r="AG63" i="52" s="1"/>
  <c r="J63" i="52"/>
  <c r="L63" i="52" s="1"/>
  <c r="M63" i="52" s="1"/>
  <c r="AN63" i="52"/>
  <c r="AP63" i="52" s="1"/>
  <c r="AQ63" i="52" s="1"/>
  <c r="O63" i="52"/>
  <c r="Q63" i="52" s="1"/>
  <c r="R63" i="52" s="1"/>
  <c r="T63" i="52"/>
  <c r="V63" i="52" s="1"/>
  <c r="W63" i="52" s="1"/>
  <c r="AS63" i="52"/>
  <c r="AU63" i="52" s="1"/>
  <c r="AV63" i="52" s="1"/>
  <c r="E63" i="52"/>
  <c r="G63" i="52" s="1"/>
  <c r="H63" i="52" s="1"/>
  <c r="BH63" i="52"/>
  <c r="AI63" i="52"/>
  <c r="AK63" i="52" s="1"/>
  <c r="AL63" i="52" s="1"/>
  <c r="BC63" i="52"/>
  <c r="BE63" i="52" s="1"/>
  <c r="BF63" i="52" s="1"/>
  <c r="Y63" i="52"/>
  <c r="AA63" i="52" s="1"/>
  <c r="AB63" i="52" s="1"/>
  <c r="AZ54" i="52"/>
  <c r="BA54" i="52" s="1"/>
  <c r="AX55" i="52"/>
  <c r="BE55" i="52"/>
  <c r="BF55" i="52" s="1"/>
  <c r="BC58" i="52"/>
  <c r="Y55" i="52"/>
  <c r="G55" i="52"/>
  <c r="H55" i="52" s="1"/>
  <c r="E58" i="52"/>
  <c r="AD55" i="52"/>
  <c r="V55" i="52"/>
  <c r="W55" i="52" s="1"/>
  <c r="T58" i="52"/>
  <c r="AI55" i="52"/>
  <c r="BH55" i="52"/>
  <c r="AP55" i="52"/>
  <c r="AQ55" i="52" s="1"/>
  <c r="AN58" i="52"/>
  <c r="J55" i="52"/>
  <c r="O55" i="52"/>
  <c r="AS55" i="52"/>
  <c r="AK53" i="6" l="1"/>
  <c r="AL53" i="6" s="1"/>
  <c r="BM56" i="6"/>
  <c r="G56" i="6"/>
  <c r="H56" i="6" s="1"/>
  <c r="AA53" i="6"/>
  <c r="AB53" i="6" s="1"/>
  <c r="L56" i="6"/>
  <c r="M56" i="6" s="1"/>
  <c r="L53" i="6"/>
  <c r="M53" i="6" s="1"/>
  <c r="AZ53" i="6"/>
  <c r="BA53" i="6" s="1"/>
  <c r="AU56" i="6"/>
  <c r="AV56" i="6" s="1"/>
  <c r="AA56" i="6"/>
  <c r="AB56" i="6" s="1"/>
  <c r="AF53" i="6"/>
  <c r="AG53" i="6" s="1"/>
  <c r="AZ56" i="6"/>
  <c r="BA56" i="6" s="1"/>
  <c r="BO52" i="6"/>
  <c r="BP52" i="6" s="1"/>
  <c r="J38" i="35"/>
  <c r="L38" i="35" s="1"/>
  <c r="M38" i="35" s="1"/>
  <c r="Q56" i="6"/>
  <c r="R56" i="6" s="1"/>
  <c r="V56" i="6"/>
  <c r="W56" i="6" s="1"/>
  <c r="BJ53" i="6"/>
  <c r="BK53" i="6" s="1"/>
  <c r="AP56" i="6"/>
  <c r="AQ56" i="6" s="1"/>
  <c r="V53" i="6"/>
  <c r="W53" i="6" s="1"/>
  <c r="BM53" i="6"/>
  <c r="BO51" i="6"/>
  <c r="BP51" i="6" s="1"/>
  <c r="AN57" i="6"/>
  <c r="AP57" i="6" s="1"/>
  <c r="AQ57" i="6" s="1"/>
  <c r="AI57" i="6"/>
  <c r="AK57" i="6" s="1"/>
  <c r="AL57" i="6" s="1"/>
  <c r="BH57" i="6"/>
  <c r="BJ57" i="6" s="1"/>
  <c r="BK57" i="6" s="1"/>
  <c r="AS57" i="6"/>
  <c r="AU57" i="6" s="1"/>
  <c r="AV57" i="6" s="1"/>
  <c r="O57" i="6"/>
  <c r="Q57" i="6" s="1"/>
  <c r="R57" i="6" s="1"/>
  <c r="J57" i="6"/>
  <c r="L57" i="6" s="1"/>
  <c r="M57" i="6" s="1"/>
  <c r="AX57" i="6"/>
  <c r="AZ57" i="6" s="1"/>
  <c r="BA57" i="6" s="1"/>
  <c r="T57" i="6"/>
  <c r="V57" i="6" s="1"/>
  <c r="W57" i="6" s="1"/>
  <c r="E57" i="6"/>
  <c r="BC57" i="6"/>
  <c r="BE57" i="6" s="1"/>
  <c r="BF57" i="6" s="1"/>
  <c r="Y57" i="6"/>
  <c r="AA57" i="6" s="1"/>
  <c r="AB57" i="6" s="1"/>
  <c r="AD57" i="6"/>
  <c r="AF57" i="6" s="1"/>
  <c r="AG57" i="6" s="1"/>
  <c r="B58" i="6"/>
  <c r="BJ56" i="6"/>
  <c r="BK56" i="6" s="1"/>
  <c r="AP53" i="6"/>
  <c r="AQ53" i="6" s="1"/>
  <c r="E39" i="35"/>
  <c r="AF56" i="6"/>
  <c r="AG56" i="6" s="1"/>
  <c r="AK56" i="6"/>
  <c r="AL56" i="6" s="1"/>
  <c r="G53" i="6"/>
  <c r="BE56" i="6"/>
  <c r="BF56" i="6" s="1"/>
  <c r="BE53" i="6"/>
  <c r="BF53" i="6" s="1"/>
  <c r="BJ55" i="52"/>
  <c r="BK55" i="52" s="1"/>
  <c r="BH58" i="52"/>
  <c r="T62" i="52"/>
  <c r="V58" i="52"/>
  <c r="W58" i="52" s="1"/>
  <c r="E62" i="52"/>
  <c r="G58" i="52"/>
  <c r="H58" i="52" s="1"/>
  <c r="BJ63" i="52"/>
  <c r="BK63" i="52" s="1"/>
  <c r="E18" i="35"/>
  <c r="G18" i="35" s="1"/>
  <c r="H18" i="35" s="1"/>
  <c r="AF55" i="52"/>
  <c r="AG55" i="52" s="1"/>
  <c r="AD58" i="52"/>
  <c r="AA55" i="52"/>
  <c r="AB55" i="52" s="1"/>
  <c r="Y58" i="52"/>
  <c r="Q55" i="52"/>
  <c r="R55" i="52" s="1"/>
  <c r="O58" i="52"/>
  <c r="L55" i="52"/>
  <c r="M55" i="52" s="1"/>
  <c r="J58" i="52"/>
  <c r="AK55" i="52"/>
  <c r="AL55" i="52" s="1"/>
  <c r="AI58" i="52"/>
  <c r="AU55" i="52"/>
  <c r="AV55" i="52" s="1"/>
  <c r="AS58" i="52"/>
  <c r="BC62" i="52"/>
  <c r="BE58" i="52"/>
  <c r="BF58" i="52" s="1"/>
  <c r="AN62" i="52"/>
  <c r="AP58" i="52"/>
  <c r="AQ58" i="52" s="1"/>
  <c r="AZ55" i="52"/>
  <c r="BA55" i="52" s="1"/>
  <c r="AX58" i="52"/>
  <c r="J39" i="35" l="1"/>
  <c r="G57" i="6"/>
  <c r="H57" i="6" s="1"/>
  <c r="BM57" i="6"/>
  <c r="BO57" i="6" s="1"/>
  <c r="BP57" i="6" s="1"/>
  <c r="G39" i="35"/>
  <c r="H39" i="35" s="1"/>
  <c r="BO56" i="6"/>
  <c r="BP56" i="6" s="1"/>
  <c r="L39" i="35"/>
  <c r="M39" i="35" s="1"/>
  <c r="O58" i="6"/>
  <c r="Q58" i="6" s="1"/>
  <c r="R58" i="6" s="1"/>
  <c r="J58" i="6"/>
  <c r="AS58" i="6"/>
  <c r="AU58" i="6" s="1"/>
  <c r="AV58" i="6" s="1"/>
  <c r="AN58" i="6"/>
  <c r="AP58" i="6" s="1"/>
  <c r="AQ58" i="6" s="1"/>
  <c r="AI58" i="6"/>
  <c r="E58" i="6"/>
  <c r="BH58" i="6"/>
  <c r="Y58" i="6"/>
  <c r="AA58" i="6" s="1"/>
  <c r="AB58" i="6" s="1"/>
  <c r="T58" i="6"/>
  <c r="V58" i="6" s="1"/>
  <c r="W58" i="6" s="1"/>
  <c r="BC58" i="6"/>
  <c r="BE58" i="6" s="1"/>
  <c r="BF58" i="6" s="1"/>
  <c r="AX58" i="6"/>
  <c r="AD58" i="6"/>
  <c r="AF58" i="6" s="1"/>
  <c r="AG58" i="6" s="1"/>
  <c r="B59" i="6"/>
  <c r="H53" i="6"/>
  <c r="BO53" i="6"/>
  <c r="BP53" i="6" s="1"/>
  <c r="AN69" i="52"/>
  <c r="AP62" i="52"/>
  <c r="AQ62" i="52" s="1"/>
  <c r="AD62" i="52"/>
  <c r="AF58" i="52"/>
  <c r="AG58" i="52" s="1"/>
  <c r="AS62" i="52"/>
  <c r="AU58" i="52"/>
  <c r="AV58" i="52" s="1"/>
  <c r="AI62" i="52"/>
  <c r="AK58" i="52"/>
  <c r="AL58" i="52" s="1"/>
  <c r="E69" i="52"/>
  <c r="G62" i="52"/>
  <c r="H62" i="52" s="1"/>
  <c r="T69" i="52"/>
  <c r="V62" i="52"/>
  <c r="W62" i="52" s="1"/>
  <c r="AX62" i="52"/>
  <c r="AZ58" i="52"/>
  <c r="BA58" i="52" s="1"/>
  <c r="O62" i="52"/>
  <c r="Q58" i="52"/>
  <c r="R58" i="52" s="1"/>
  <c r="BH62" i="52"/>
  <c r="BJ58" i="52"/>
  <c r="BK58" i="52" s="1"/>
  <c r="E13" i="35"/>
  <c r="Y62" i="52"/>
  <c r="AA58" i="52"/>
  <c r="AB58" i="52" s="1"/>
  <c r="BC69" i="52"/>
  <c r="BE62" i="52"/>
  <c r="BF62" i="52" s="1"/>
  <c r="J62" i="52"/>
  <c r="L58" i="52"/>
  <c r="M58" i="52" s="1"/>
  <c r="BJ58" i="6" l="1"/>
  <c r="BK58" i="6" s="1"/>
  <c r="AZ58" i="6"/>
  <c r="BA58" i="6" s="1"/>
  <c r="L58" i="6"/>
  <c r="M58" i="6" s="1"/>
  <c r="BM58" i="6"/>
  <c r="G58" i="6"/>
  <c r="H58" i="6" s="1"/>
  <c r="BC59" i="6"/>
  <c r="BE59" i="6" s="1"/>
  <c r="BF59" i="6" s="1"/>
  <c r="AI59" i="6"/>
  <c r="AK59" i="6" s="1"/>
  <c r="AL59" i="6" s="1"/>
  <c r="O59" i="6"/>
  <c r="AX59" i="6"/>
  <c r="AZ59" i="6" s="1"/>
  <c r="BA59" i="6" s="1"/>
  <c r="AD59" i="6"/>
  <c r="AS59" i="6"/>
  <c r="AU59" i="6" s="1"/>
  <c r="AV59" i="6" s="1"/>
  <c r="E59" i="6"/>
  <c r="AN59" i="6"/>
  <c r="AP59" i="6" s="1"/>
  <c r="AQ59" i="6" s="1"/>
  <c r="J59" i="6"/>
  <c r="L59" i="6" s="1"/>
  <c r="M59" i="6" s="1"/>
  <c r="BH59" i="6"/>
  <c r="BJ59" i="6" s="1"/>
  <c r="BK59" i="6" s="1"/>
  <c r="Y59" i="6"/>
  <c r="AA59" i="6" s="1"/>
  <c r="AB59" i="6" s="1"/>
  <c r="T59" i="6"/>
  <c r="V59" i="6" s="1"/>
  <c r="W59" i="6" s="1"/>
  <c r="B63" i="6"/>
  <c r="AK58" i="6"/>
  <c r="AL58" i="6" s="1"/>
  <c r="E17" i="35"/>
  <c r="G13" i="35"/>
  <c r="H13" i="35" s="1"/>
  <c r="AS69" i="52"/>
  <c r="AU62" i="52"/>
  <c r="AV62" i="52" s="1"/>
  <c r="O69" i="52"/>
  <c r="Q62" i="52"/>
  <c r="R62" i="52" s="1"/>
  <c r="AD69" i="52"/>
  <c r="AF62" i="52"/>
  <c r="AG62" i="52" s="1"/>
  <c r="J69" i="52"/>
  <c r="L62" i="52"/>
  <c r="M62" i="52" s="1"/>
  <c r="T70" i="52"/>
  <c r="V69" i="52"/>
  <c r="W69" i="52" s="1"/>
  <c r="BC70" i="52"/>
  <c r="BE69" i="52"/>
  <c r="BF69" i="52" s="1"/>
  <c r="E70" i="52"/>
  <c r="G69" i="52"/>
  <c r="H69" i="52" s="1"/>
  <c r="AI69" i="52"/>
  <c r="AK62" i="52"/>
  <c r="AL62" i="52" s="1"/>
  <c r="BH69" i="52"/>
  <c r="BJ62" i="52"/>
  <c r="BK62" i="52" s="1"/>
  <c r="Y69" i="52"/>
  <c r="AA62" i="52"/>
  <c r="AB62" i="52" s="1"/>
  <c r="AX69" i="52"/>
  <c r="AZ62" i="52"/>
  <c r="BA62" i="52" s="1"/>
  <c r="AN70" i="52"/>
  <c r="AP69" i="52"/>
  <c r="AQ69" i="52" s="1"/>
  <c r="AI60" i="6" l="1"/>
  <c r="T60" i="6"/>
  <c r="AN60" i="6"/>
  <c r="J60" i="6"/>
  <c r="G59" i="6"/>
  <c r="H59" i="6" s="1"/>
  <c r="BM59" i="6"/>
  <c r="BO59" i="6" s="1"/>
  <c r="BP59" i="6" s="1"/>
  <c r="AX60" i="6"/>
  <c r="Y60" i="6"/>
  <c r="V60" i="6"/>
  <c r="W60" i="6" s="1"/>
  <c r="AK60" i="6"/>
  <c r="AL60" i="6" s="1"/>
  <c r="Q59" i="6"/>
  <c r="R59" i="6" s="1"/>
  <c r="O60" i="6"/>
  <c r="BH60" i="6"/>
  <c r="AF59" i="6"/>
  <c r="AG59" i="6" s="1"/>
  <c r="AD60" i="6"/>
  <c r="BH63" i="6"/>
  <c r="BJ63" i="6" s="1"/>
  <c r="BK63" i="6" s="1"/>
  <c r="AN63" i="6"/>
  <c r="AP63" i="6" s="1"/>
  <c r="AQ63" i="6" s="1"/>
  <c r="T63" i="6"/>
  <c r="V63" i="6" s="1"/>
  <c r="W63" i="6" s="1"/>
  <c r="J63" i="6"/>
  <c r="L63" i="6" s="1"/>
  <c r="M63" i="6" s="1"/>
  <c r="E63" i="6"/>
  <c r="Y63" i="6"/>
  <c r="AA63" i="6" s="1"/>
  <c r="AB63" i="6" s="1"/>
  <c r="AS63" i="6"/>
  <c r="AU63" i="6" s="1"/>
  <c r="AV63" i="6" s="1"/>
  <c r="AD63" i="6"/>
  <c r="AF63" i="6" s="1"/>
  <c r="AG63" i="6" s="1"/>
  <c r="AX63" i="6"/>
  <c r="AZ63" i="6" s="1"/>
  <c r="BA63" i="6" s="1"/>
  <c r="BC63" i="6"/>
  <c r="BE63" i="6" s="1"/>
  <c r="BF63" i="6" s="1"/>
  <c r="O63" i="6"/>
  <c r="Q63" i="6" s="1"/>
  <c r="R63" i="6" s="1"/>
  <c r="AI63" i="6"/>
  <c r="AK63" i="6" s="1"/>
  <c r="AL63" i="6" s="1"/>
  <c r="B64" i="6"/>
  <c r="BC60" i="6"/>
  <c r="AS60" i="6"/>
  <c r="BO58" i="6"/>
  <c r="BP58" i="6" s="1"/>
  <c r="BM60" i="6"/>
  <c r="E60" i="6"/>
  <c r="AX70" i="52"/>
  <c r="AZ69" i="52"/>
  <c r="BA69" i="52" s="1"/>
  <c r="BH70" i="52"/>
  <c r="BJ69" i="52"/>
  <c r="BK69" i="52" s="1"/>
  <c r="AS70" i="52"/>
  <c r="AU69" i="52"/>
  <c r="AV69" i="52" s="1"/>
  <c r="J70" i="52"/>
  <c r="L69" i="52"/>
  <c r="M69" i="52" s="1"/>
  <c r="AD70" i="52"/>
  <c r="AF69" i="52"/>
  <c r="AG69" i="52" s="1"/>
  <c r="AI70" i="52"/>
  <c r="AK69" i="52"/>
  <c r="AL69" i="52" s="1"/>
  <c r="O70" i="52"/>
  <c r="Q69" i="52"/>
  <c r="R69" i="52" s="1"/>
  <c r="Y70" i="52"/>
  <c r="AA69" i="52"/>
  <c r="AB69" i="52" s="1"/>
  <c r="G17" i="35"/>
  <c r="H17" i="35" s="1"/>
  <c r="BO60" i="6" l="1"/>
  <c r="BP60" i="6" s="1"/>
  <c r="J42" i="35"/>
  <c r="BM63" i="6"/>
  <c r="G63" i="6"/>
  <c r="H63" i="6" s="1"/>
  <c r="Q60" i="6"/>
  <c r="R60" i="6" s="1"/>
  <c r="G60" i="6"/>
  <c r="H60" i="6" s="1"/>
  <c r="AZ60" i="6"/>
  <c r="BA60" i="6" s="1"/>
  <c r="AX64" i="6"/>
  <c r="AZ64" i="6" s="1"/>
  <c r="BA64" i="6" s="1"/>
  <c r="AS64" i="6"/>
  <c r="AU64" i="6" s="1"/>
  <c r="AV64" i="6" s="1"/>
  <c r="J64" i="6"/>
  <c r="L64" i="6" s="1"/>
  <c r="M64" i="6" s="1"/>
  <c r="AD64" i="6"/>
  <c r="AF64" i="6" s="1"/>
  <c r="AG64" i="6" s="1"/>
  <c r="BC64" i="6"/>
  <c r="BE64" i="6" s="1"/>
  <c r="BF64" i="6" s="1"/>
  <c r="T64" i="6"/>
  <c r="V64" i="6" s="1"/>
  <c r="W64" i="6" s="1"/>
  <c r="O64" i="6"/>
  <c r="Q64" i="6" s="1"/>
  <c r="R64" i="6" s="1"/>
  <c r="AN64" i="6"/>
  <c r="AP64" i="6" s="1"/>
  <c r="AQ64" i="6" s="1"/>
  <c r="AI64" i="6"/>
  <c r="AK64" i="6" s="1"/>
  <c r="AL64" i="6" s="1"/>
  <c r="E64" i="6"/>
  <c r="BH64" i="6"/>
  <c r="BJ64" i="6" s="1"/>
  <c r="BK64" i="6" s="1"/>
  <c r="Y64" i="6"/>
  <c r="AA64" i="6" s="1"/>
  <c r="AB64" i="6" s="1"/>
  <c r="B65" i="6"/>
  <c r="AF60" i="6"/>
  <c r="AG60" i="6" s="1"/>
  <c r="AA60" i="6"/>
  <c r="AB60" i="6" s="1"/>
  <c r="L60" i="6"/>
  <c r="M60" i="6" s="1"/>
  <c r="AU60" i="6"/>
  <c r="AV60" i="6" s="1"/>
  <c r="BE60" i="6"/>
  <c r="BF60" i="6" s="1"/>
  <c r="BJ60" i="6"/>
  <c r="BK60" i="6" s="1"/>
  <c r="E42" i="35"/>
  <c r="AP60" i="6"/>
  <c r="AQ60" i="6" s="1"/>
  <c r="G24" i="35"/>
  <c r="H24" i="35" s="1"/>
  <c r="G64" i="6" l="1"/>
  <c r="H64" i="6" s="1"/>
  <c r="BM64" i="6"/>
  <c r="BO64" i="6" s="1"/>
  <c r="BP64" i="6" s="1"/>
  <c r="BO63" i="6"/>
  <c r="BP63" i="6" s="1"/>
  <c r="L42" i="35"/>
  <c r="M42" i="35" s="1"/>
  <c r="G42" i="35"/>
  <c r="H42" i="35" s="1"/>
  <c r="E65" i="6"/>
  <c r="T65" i="6"/>
  <c r="V65" i="6" s="1"/>
  <c r="W65" i="6" s="1"/>
  <c r="AS65" i="6"/>
  <c r="AU65" i="6" s="1"/>
  <c r="AV65" i="6" s="1"/>
  <c r="AX65" i="6"/>
  <c r="AZ65" i="6" s="1"/>
  <c r="BA65" i="6" s="1"/>
  <c r="O65" i="6"/>
  <c r="Q65" i="6" s="1"/>
  <c r="R65" i="6" s="1"/>
  <c r="AN65" i="6"/>
  <c r="AP65" i="6" s="1"/>
  <c r="AQ65" i="6" s="1"/>
  <c r="J65" i="6"/>
  <c r="L65" i="6" s="1"/>
  <c r="M65" i="6" s="1"/>
  <c r="AI65" i="6"/>
  <c r="AK65" i="6" s="1"/>
  <c r="AL65" i="6" s="1"/>
  <c r="BH65" i="6"/>
  <c r="BJ65" i="6" s="1"/>
  <c r="BK65" i="6" s="1"/>
  <c r="BC65" i="6"/>
  <c r="BE65" i="6" s="1"/>
  <c r="BF65" i="6" s="1"/>
  <c r="Y65" i="6"/>
  <c r="AA65" i="6" s="1"/>
  <c r="AB65" i="6" s="1"/>
  <c r="AD65" i="6"/>
  <c r="AF65" i="6" s="1"/>
  <c r="AG65" i="6" s="1"/>
  <c r="B66" i="6"/>
  <c r="BC66" i="6" l="1"/>
  <c r="AI66" i="6"/>
  <c r="O66" i="6"/>
  <c r="AS66" i="6"/>
  <c r="AN66" i="6"/>
  <c r="J66" i="6"/>
  <c r="AD66" i="6"/>
  <c r="E66" i="6"/>
  <c r="BH66" i="6"/>
  <c r="AX66" i="6"/>
  <c r="Y66" i="6"/>
  <c r="T66" i="6"/>
  <c r="B67" i="6"/>
  <c r="BM65" i="6"/>
  <c r="G65" i="6"/>
  <c r="H65" i="6" s="1"/>
  <c r="AA66" i="6" l="1"/>
  <c r="AB66" i="6" s="1"/>
  <c r="BJ66" i="6"/>
  <c r="BK66" i="6" s="1"/>
  <c r="AF66" i="6"/>
  <c r="AG66" i="6" s="1"/>
  <c r="AU66" i="6"/>
  <c r="AV66" i="6" s="1"/>
  <c r="Q66" i="6"/>
  <c r="R66" i="6" s="1"/>
  <c r="AZ66" i="6"/>
  <c r="BA66" i="6" s="1"/>
  <c r="L66" i="6"/>
  <c r="M66" i="6" s="1"/>
  <c r="BO65" i="6"/>
  <c r="BP65" i="6" s="1"/>
  <c r="AK66" i="6"/>
  <c r="AL66" i="6" s="1"/>
  <c r="G66" i="6"/>
  <c r="H66" i="6" s="1"/>
  <c r="BM66" i="6"/>
  <c r="BO66" i="6" s="1"/>
  <c r="BP66" i="6" s="1"/>
  <c r="T67" i="6"/>
  <c r="V67" i="6" s="1"/>
  <c r="W67" i="6" s="1"/>
  <c r="O67" i="6"/>
  <c r="Q67" i="6" s="1"/>
  <c r="R67" i="6" s="1"/>
  <c r="AI67" i="6"/>
  <c r="AK67" i="6" s="1"/>
  <c r="AL67" i="6" s="1"/>
  <c r="J67" i="6"/>
  <c r="L67" i="6" s="1"/>
  <c r="M67" i="6" s="1"/>
  <c r="BC67" i="6"/>
  <c r="BE67" i="6" s="1"/>
  <c r="BF67" i="6" s="1"/>
  <c r="AD67" i="6"/>
  <c r="AF67" i="6" s="1"/>
  <c r="AG67" i="6" s="1"/>
  <c r="BH67" i="6"/>
  <c r="BJ67" i="6" s="1"/>
  <c r="BK67" i="6" s="1"/>
  <c r="AX67" i="6"/>
  <c r="AZ67" i="6" s="1"/>
  <c r="BA67" i="6" s="1"/>
  <c r="E67" i="6"/>
  <c r="AS67" i="6"/>
  <c r="AU67" i="6" s="1"/>
  <c r="AV67" i="6" s="1"/>
  <c r="AN67" i="6"/>
  <c r="AP67" i="6" s="1"/>
  <c r="AQ67" i="6" s="1"/>
  <c r="Y67" i="6"/>
  <c r="AA67" i="6" s="1"/>
  <c r="AB67" i="6" s="1"/>
  <c r="B68" i="6"/>
  <c r="BE66" i="6"/>
  <c r="BF66" i="6" s="1"/>
  <c r="AP66" i="6"/>
  <c r="AQ66" i="6" s="1"/>
  <c r="V66" i="6"/>
  <c r="W66" i="6" s="1"/>
  <c r="G67" i="6" l="1"/>
  <c r="H67" i="6" s="1"/>
  <c r="BM67" i="6"/>
  <c r="BO67" i="6" s="1"/>
  <c r="BP67" i="6" s="1"/>
  <c r="BH68" i="6"/>
  <c r="BJ68" i="6" s="1"/>
  <c r="BK68" i="6" s="1"/>
  <c r="O68" i="6"/>
  <c r="Q68" i="6" s="1"/>
  <c r="R68" i="6" s="1"/>
  <c r="J68" i="6"/>
  <c r="L68" i="6" s="1"/>
  <c r="M68" i="6" s="1"/>
  <c r="AS68" i="6"/>
  <c r="AU68" i="6" s="1"/>
  <c r="AV68" i="6" s="1"/>
  <c r="T68" i="6"/>
  <c r="V68" i="6" s="1"/>
  <c r="W68" i="6" s="1"/>
  <c r="AN68" i="6"/>
  <c r="AP68" i="6" s="1"/>
  <c r="AQ68" i="6" s="1"/>
  <c r="BC68" i="6"/>
  <c r="Y68" i="6"/>
  <c r="AA68" i="6" s="1"/>
  <c r="AB68" i="6" s="1"/>
  <c r="AI68" i="6"/>
  <c r="AK68" i="6" s="1"/>
  <c r="AL68" i="6" s="1"/>
  <c r="AD68" i="6"/>
  <c r="E68" i="6"/>
  <c r="AX68" i="6"/>
  <c r="B69" i="6"/>
  <c r="BE68" i="6" l="1"/>
  <c r="BF68" i="6" s="1"/>
  <c r="BC69" i="6"/>
  <c r="BE69" i="6" s="1"/>
  <c r="BF69" i="6" s="1"/>
  <c r="AX69" i="6"/>
  <c r="AZ69" i="6" s="1"/>
  <c r="BA69" i="6" s="1"/>
  <c r="AD69" i="6"/>
  <c r="AF69" i="6" s="1"/>
  <c r="AG69" i="6" s="1"/>
  <c r="J69" i="6"/>
  <c r="AI69" i="6"/>
  <c r="AK69" i="6" s="1"/>
  <c r="AL69" i="6" s="1"/>
  <c r="T69" i="6"/>
  <c r="V69" i="6" s="1"/>
  <c r="W69" i="6" s="1"/>
  <c r="AS69" i="6"/>
  <c r="AU69" i="6" s="1"/>
  <c r="AV69" i="6" s="1"/>
  <c r="O69" i="6"/>
  <c r="Q69" i="6" s="1"/>
  <c r="R69" i="6" s="1"/>
  <c r="E69" i="6"/>
  <c r="BH69" i="6"/>
  <c r="BJ69" i="6" s="1"/>
  <c r="BK69" i="6" s="1"/>
  <c r="AN69" i="6"/>
  <c r="AP69" i="6" s="1"/>
  <c r="AQ69" i="6" s="1"/>
  <c r="Y69" i="6"/>
  <c r="AA69" i="6" s="1"/>
  <c r="AB69" i="6" s="1"/>
  <c r="B72" i="6"/>
  <c r="AZ68" i="6"/>
  <c r="BA68" i="6" s="1"/>
  <c r="BM68" i="6"/>
  <c r="BO68" i="6" s="1"/>
  <c r="BP68" i="6" s="1"/>
  <c r="G68" i="6"/>
  <c r="H68" i="6" s="1"/>
  <c r="AF68" i="6"/>
  <c r="AG68" i="6" s="1"/>
  <c r="AX70" i="6" l="1"/>
  <c r="AS70" i="6"/>
  <c r="T70" i="6"/>
  <c r="V70" i="6"/>
  <c r="W70" i="6" s="1"/>
  <c r="BH72" i="6"/>
  <c r="AN72" i="6"/>
  <c r="AP72" i="6" s="1"/>
  <c r="AQ72" i="6" s="1"/>
  <c r="T72" i="6"/>
  <c r="V72" i="6" s="1"/>
  <c r="W72" i="6" s="1"/>
  <c r="BC72" i="6"/>
  <c r="BE72" i="6" s="1"/>
  <c r="BF72" i="6" s="1"/>
  <c r="AI72" i="6"/>
  <c r="AK72" i="6" s="1"/>
  <c r="AL72" i="6" s="1"/>
  <c r="O72" i="6"/>
  <c r="Q72" i="6" s="1"/>
  <c r="R72" i="6" s="1"/>
  <c r="J72" i="6"/>
  <c r="L72" i="6" s="1"/>
  <c r="M72" i="6" s="1"/>
  <c r="E72" i="6"/>
  <c r="Y72" i="6"/>
  <c r="AA72" i="6" s="1"/>
  <c r="AB72" i="6" s="1"/>
  <c r="AX72" i="6"/>
  <c r="AZ72" i="6" s="1"/>
  <c r="BA72" i="6" s="1"/>
  <c r="AD72" i="6"/>
  <c r="AF72" i="6" s="1"/>
  <c r="AG72" i="6" s="1"/>
  <c r="AS72" i="6"/>
  <c r="AU72" i="6" s="1"/>
  <c r="AV72" i="6" s="1"/>
  <c r="B73" i="6"/>
  <c r="AN70" i="6"/>
  <c r="Y70" i="6"/>
  <c r="AD70" i="6"/>
  <c r="AU70" i="6"/>
  <c r="AV70" i="6" s="1"/>
  <c r="BH70" i="6"/>
  <c r="L69" i="6"/>
  <c r="M69" i="6" s="1"/>
  <c r="J70" i="6"/>
  <c r="AZ70" i="6"/>
  <c r="BA70" i="6" s="1"/>
  <c r="G69" i="6"/>
  <c r="H69" i="6" s="1"/>
  <c r="BM69" i="6"/>
  <c r="BO69" i="6" s="1"/>
  <c r="BP69" i="6" s="1"/>
  <c r="E70" i="6"/>
  <c r="BC70" i="6"/>
  <c r="O70" i="6"/>
  <c r="AI70" i="6"/>
  <c r="BM70" i="6" l="1"/>
  <c r="L70" i="6"/>
  <c r="M70" i="6" s="1"/>
  <c r="BJ70" i="6"/>
  <c r="BK70" i="6" s="1"/>
  <c r="E43" i="35"/>
  <c r="AK70" i="6"/>
  <c r="AL70" i="6" s="1"/>
  <c r="BE70" i="6"/>
  <c r="BF70" i="6" s="1"/>
  <c r="BO70" i="6"/>
  <c r="BP70" i="6" s="1"/>
  <c r="J43" i="35"/>
  <c r="AP70" i="6"/>
  <c r="AQ70" i="6" s="1"/>
  <c r="AX73" i="6"/>
  <c r="AZ73" i="6" s="1"/>
  <c r="BA73" i="6" s="1"/>
  <c r="Y73" i="6"/>
  <c r="AA73" i="6" s="1"/>
  <c r="AB73" i="6" s="1"/>
  <c r="T73" i="6"/>
  <c r="V73" i="6" s="1"/>
  <c r="W73" i="6" s="1"/>
  <c r="AD73" i="6"/>
  <c r="AF73" i="6" s="1"/>
  <c r="AG73" i="6" s="1"/>
  <c r="BH73" i="6"/>
  <c r="O73" i="6"/>
  <c r="Q73" i="6" s="1"/>
  <c r="R73" i="6" s="1"/>
  <c r="J73" i="6"/>
  <c r="L73" i="6" s="1"/>
  <c r="M73" i="6" s="1"/>
  <c r="BC73" i="6"/>
  <c r="BE73" i="6" s="1"/>
  <c r="BF73" i="6" s="1"/>
  <c r="E73" i="6"/>
  <c r="AN73" i="6"/>
  <c r="AP73" i="6" s="1"/>
  <c r="AQ73" i="6" s="1"/>
  <c r="AI73" i="6"/>
  <c r="AK73" i="6" s="1"/>
  <c r="AL73" i="6" s="1"/>
  <c r="AS73" i="6"/>
  <c r="B77" i="6"/>
  <c r="BJ72" i="6"/>
  <c r="BK72" i="6" s="1"/>
  <c r="E44" i="35"/>
  <c r="G44" i="35" s="1"/>
  <c r="H44" i="35" s="1"/>
  <c r="BM72" i="6"/>
  <c r="G72" i="6"/>
  <c r="H72" i="6" s="1"/>
  <c r="Q70" i="6"/>
  <c r="R70" i="6" s="1"/>
  <c r="AF70" i="6"/>
  <c r="AG70" i="6" s="1"/>
  <c r="AD74" i="6"/>
  <c r="G70" i="6"/>
  <c r="H70" i="6" s="1"/>
  <c r="AA70" i="6"/>
  <c r="AB70" i="6" s="1"/>
  <c r="AX74" i="6" l="1"/>
  <c r="AZ74" i="6" s="1"/>
  <c r="BA74" i="6" s="1"/>
  <c r="AI74" i="6"/>
  <c r="O74" i="6"/>
  <c r="T74" i="6"/>
  <c r="G73" i="6"/>
  <c r="H73" i="6" s="1"/>
  <c r="BM73" i="6"/>
  <c r="L43" i="35"/>
  <c r="M43" i="35" s="1"/>
  <c r="BC74" i="6"/>
  <c r="BJ73" i="6"/>
  <c r="BK73" i="6" s="1"/>
  <c r="E45" i="35"/>
  <c r="G45" i="35" s="1"/>
  <c r="H45" i="35" s="1"/>
  <c r="AK74" i="6"/>
  <c r="AL74" i="6" s="1"/>
  <c r="BO72" i="6"/>
  <c r="BP72" i="6" s="1"/>
  <c r="J44" i="35"/>
  <c r="L44" i="35" s="1"/>
  <c r="M44" i="35" s="1"/>
  <c r="V74" i="6"/>
  <c r="W74" i="6" s="1"/>
  <c r="BH74" i="6"/>
  <c r="G43" i="35"/>
  <c r="H43" i="35" s="1"/>
  <c r="Y74" i="6"/>
  <c r="AU73" i="6"/>
  <c r="AV73" i="6" s="1"/>
  <c r="AS74" i="6"/>
  <c r="AN74" i="6"/>
  <c r="J74" i="6"/>
  <c r="AF74" i="6"/>
  <c r="AG74" i="6" s="1"/>
  <c r="Q74" i="6"/>
  <c r="R74" i="6" s="1"/>
  <c r="BC77" i="6"/>
  <c r="AD77" i="6"/>
  <c r="O77" i="6"/>
  <c r="AN77" i="6"/>
  <c r="AI77" i="6"/>
  <c r="AS77" i="6"/>
  <c r="BH77" i="6"/>
  <c r="J77" i="6"/>
  <c r="AX77" i="6"/>
  <c r="T77" i="6"/>
  <c r="Y77" i="6"/>
  <c r="B78" i="6"/>
  <c r="E74" i="6"/>
  <c r="BM77" i="6" l="1"/>
  <c r="V77" i="6"/>
  <c r="W77" i="6" s="1"/>
  <c r="AZ77" i="6"/>
  <c r="BA77" i="6" s="1"/>
  <c r="L77" i="6"/>
  <c r="M77" i="6" s="1"/>
  <c r="L74" i="6"/>
  <c r="M74" i="6" s="1"/>
  <c r="BJ77" i="6"/>
  <c r="BK77" i="6" s="1"/>
  <c r="AP74" i="6"/>
  <c r="AQ74" i="6" s="1"/>
  <c r="AU77" i="6"/>
  <c r="AV77" i="6" s="1"/>
  <c r="AU74" i="6"/>
  <c r="AV74" i="6" s="1"/>
  <c r="AK77" i="6"/>
  <c r="AL77" i="6" s="1"/>
  <c r="AP77" i="6"/>
  <c r="AQ77" i="6" s="1"/>
  <c r="AA74" i="6"/>
  <c r="AB74" i="6" s="1"/>
  <c r="Q77" i="6"/>
  <c r="R77" i="6" s="1"/>
  <c r="E46" i="35"/>
  <c r="AF77" i="6"/>
  <c r="AG77" i="6" s="1"/>
  <c r="BE74" i="6"/>
  <c r="BF74" i="6" s="1"/>
  <c r="G74" i="6"/>
  <c r="BE77" i="6"/>
  <c r="BF77" i="6" s="1"/>
  <c r="AN78" i="6"/>
  <c r="AP78" i="6" s="1"/>
  <c r="AQ78" i="6" s="1"/>
  <c r="AI78" i="6"/>
  <c r="AK78" i="6" s="1"/>
  <c r="AL78" i="6" s="1"/>
  <c r="BH78" i="6"/>
  <c r="BC78" i="6"/>
  <c r="Y78" i="6"/>
  <c r="AA78" i="6" s="1"/>
  <c r="AB78" i="6" s="1"/>
  <c r="AX78" i="6"/>
  <c r="J78" i="6"/>
  <c r="L78" i="6" s="1"/>
  <c r="M78" i="6" s="1"/>
  <c r="AS78" i="6"/>
  <c r="T78" i="6"/>
  <c r="V78" i="6" s="1"/>
  <c r="W78" i="6" s="1"/>
  <c r="O78" i="6"/>
  <c r="Q78" i="6" s="1"/>
  <c r="R78" i="6" s="1"/>
  <c r="E78" i="6"/>
  <c r="AD78" i="6"/>
  <c r="AF78" i="6" s="1"/>
  <c r="AG78" i="6" s="1"/>
  <c r="B79" i="6"/>
  <c r="AA77" i="6"/>
  <c r="AB77" i="6" s="1"/>
  <c r="BJ74" i="6"/>
  <c r="BK74" i="6" s="1"/>
  <c r="J45" i="35"/>
  <c r="L45" i="35" s="1"/>
  <c r="M45" i="35" s="1"/>
  <c r="BO73" i="6"/>
  <c r="BP73" i="6" s="1"/>
  <c r="BM74" i="6"/>
  <c r="AU78" i="6" l="1"/>
  <c r="AV78" i="6" s="1"/>
  <c r="AZ78" i="6"/>
  <c r="BA78" i="6" s="1"/>
  <c r="BJ78" i="6"/>
  <c r="BK78" i="6" s="1"/>
  <c r="BE78" i="6"/>
  <c r="BF78" i="6" s="1"/>
  <c r="J46" i="35"/>
  <c r="L46" i="35" s="1"/>
  <c r="M46" i="35" s="1"/>
  <c r="BH79" i="6"/>
  <c r="AN79" i="6"/>
  <c r="AP79" i="6" s="1"/>
  <c r="AQ79" i="6" s="1"/>
  <c r="T79" i="6"/>
  <c r="V79" i="6" s="1"/>
  <c r="W79" i="6" s="1"/>
  <c r="BC79" i="6"/>
  <c r="AI79" i="6"/>
  <c r="AK79" i="6" s="1"/>
  <c r="AL79" i="6" s="1"/>
  <c r="O79" i="6"/>
  <c r="Q79" i="6" s="1"/>
  <c r="R79" i="6" s="1"/>
  <c r="AS79" i="6"/>
  <c r="AX79" i="6"/>
  <c r="Y79" i="6"/>
  <c r="J79" i="6"/>
  <c r="AD79" i="6"/>
  <c r="AF79" i="6" s="1"/>
  <c r="AG79" i="6" s="1"/>
  <c r="E79" i="6"/>
  <c r="B80" i="6"/>
  <c r="BM78" i="6"/>
  <c r="BO78" i="6" s="1"/>
  <c r="BP78" i="6" s="1"/>
  <c r="G78" i="6"/>
  <c r="H78" i="6" s="1"/>
  <c r="BO74" i="6"/>
  <c r="BP74" i="6" s="1"/>
  <c r="H74" i="6"/>
  <c r="BO77" i="6"/>
  <c r="BP77" i="6" s="1"/>
  <c r="G46" i="35"/>
  <c r="H46" i="35" s="1"/>
  <c r="AU79" i="6" l="1"/>
  <c r="AV79" i="6" s="1"/>
  <c r="BM79" i="6"/>
  <c r="BO79" i="6" s="1"/>
  <c r="BP79" i="6" s="1"/>
  <c r="AZ79" i="6"/>
  <c r="BA79" i="6" s="1"/>
  <c r="G79" i="6"/>
  <c r="H79" i="6" s="1"/>
  <c r="L79" i="6"/>
  <c r="M79" i="6" s="1"/>
  <c r="E81" i="6"/>
  <c r="AA79" i="6"/>
  <c r="AB79" i="6" s="1"/>
  <c r="BE79" i="6"/>
  <c r="BF79" i="6" s="1"/>
  <c r="AD81" i="6"/>
  <c r="J80" i="6"/>
  <c r="L80" i="6" s="1"/>
  <c r="M80" i="6" s="1"/>
  <c r="AI80" i="6"/>
  <c r="E80" i="6"/>
  <c r="BH80" i="6"/>
  <c r="Y80" i="6"/>
  <c r="AA80" i="6" s="1"/>
  <c r="AB80" i="6" s="1"/>
  <c r="BC80" i="6"/>
  <c r="BC81" i="6" s="1"/>
  <c r="AD80" i="6"/>
  <c r="AF80" i="6" s="1"/>
  <c r="AG80" i="6" s="1"/>
  <c r="T80" i="6"/>
  <c r="O80" i="6"/>
  <c r="AX80" i="6"/>
  <c r="AS80" i="6"/>
  <c r="AN80" i="6"/>
  <c r="BJ79" i="6"/>
  <c r="BK79" i="6" s="1"/>
  <c r="AU80" i="6" l="1"/>
  <c r="AV80" i="6" s="1"/>
  <c r="AZ80" i="6"/>
  <c r="BA80" i="6" s="1"/>
  <c r="BJ80" i="6"/>
  <c r="BK80" i="6" s="1"/>
  <c r="BE80" i="6"/>
  <c r="BF80" i="6" s="1"/>
  <c r="J81" i="6"/>
  <c r="Y81" i="6"/>
  <c r="Q80" i="6"/>
  <c r="R80" i="6" s="1"/>
  <c r="O81" i="6"/>
  <c r="AA81" i="6"/>
  <c r="AB81" i="6" s="1"/>
  <c r="AA85" i="6"/>
  <c r="AB85" i="6" s="1"/>
  <c r="AS81" i="6"/>
  <c r="AK80" i="6"/>
  <c r="AL80" i="6" s="1"/>
  <c r="AI81" i="6"/>
  <c r="AF81" i="6"/>
  <c r="AG81" i="6" s="1"/>
  <c r="AD85" i="6"/>
  <c r="AF85" i="6" s="1"/>
  <c r="AG85" i="6" s="1"/>
  <c r="V80" i="6"/>
  <c r="W80" i="6" s="1"/>
  <c r="T81" i="6"/>
  <c r="G81" i="6"/>
  <c r="G80" i="6"/>
  <c r="H80" i="6" s="1"/>
  <c r="BM80" i="6"/>
  <c r="BM81" i="6" s="1"/>
  <c r="L81" i="6"/>
  <c r="M81" i="6" s="1"/>
  <c r="L85" i="6"/>
  <c r="M85" i="6" s="1"/>
  <c r="BH81" i="6"/>
  <c r="BE81" i="6"/>
  <c r="BF81" i="6" s="1"/>
  <c r="BC85" i="6"/>
  <c r="BE85" i="6" s="1"/>
  <c r="BF85" i="6" s="1"/>
  <c r="AX81" i="6"/>
  <c r="AP80" i="6"/>
  <c r="AQ80" i="6" s="1"/>
  <c r="AN81" i="6"/>
  <c r="V81" i="6" l="1"/>
  <c r="W81" i="6" s="1"/>
  <c r="V85" i="6"/>
  <c r="W85" i="6" s="1"/>
  <c r="H81" i="6"/>
  <c r="G85" i="6"/>
  <c r="H85" i="6" s="1"/>
  <c r="AP81" i="6"/>
  <c r="AQ81" i="6" s="1"/>
  <c r="AN85" i="6"/>
  <c r="AP85" i="6" s="1"/>
  <c r="AQ85" i="6" s="1"/>
  <c r="AZ81" i="6"/>
  <c r="BA81" i="6" s="1"/>
  <c r="AX85" i="6"/>
  <c r="AZ85" i="6" s="1"/>
  <c r="BA85" i="6" s="1"/>
  <c r="AK81" i="6"/>
  <c r="AL81" i="6" s="1"/>
  <c r="AI85" i="6"/>
  <c r="AK85" i="6" s="1"/>
  <c r="AL85" i="6" s="1"/>
  <c r="BJ81" i="6"/>
  <c r="BK81" i="6" s="1"/>
  <c r="E49" i="35"/>
  <c r="BH85" i="6"/>
  <c r="BJ85" i="6" s="1"/>
  <c r="BK85" i="6" s="1"/>
  <c r="AU81" i="6"/>
  <c r="AV81" i="6" s="1"/>
  <c r="AS85" i="6"/>
  <c r="AU85" i="6" s="1"/>
  <c r="AV85" i="6" s="1"/>
  <c r="BO80" i="6"/>
  <c r="BP80" i="6" s="1"/>
  <c r="Q81" i="6"/>
  <c r="R81" i="6" s="1"/>
  <c r="Q85" i="6"/>
  <c r="R85" i="6" s="1"/>
  <c r="G49" i="35" l="1"/>
  <c r="H49" i="35" s="1"/>
  <c r="BO81" i="6"/>
  <c r="BP81" i="6" s="1"/>
  <c r="J49" i="35"/>
  <c r="BM85" i="6"/>
  <c r="L49" i="35" l="1"/>
  <c r="M49" i="35" s="1"/>
  <c r="J52" i="35"/>
  <c r="BM86" i="6"/>
  <c r="BO85" i="6"/>
  <c r="BP85" i="6" s="1"/>
  <c r="G52" i="35"/>
  <c r="H52" i="35" s="1"/>
  <c r="E54" i="35"/>
  <c r="G54" i="35" s="1"/>
  <c r="H54" i="35" s="1"/>
  <c r="L52" i="35" l="1"/>
  <c r="M52" i="35" s="1"/>
  <c r="J54" i="35"/>
  <c r="L54" i="35" s="1"/>
  <c r="M54" i="35" s="1"/>
  <c r="A24" i="61" l="1"/>
  <c r="A23" i="61"/>
  <c r="A22" i="61"/>
  <c r="A14" i="61" l="1"/>
  <c r="A20" i="61" l="1"/>
  <c r="A18" i="61" l="1"/>
  <c r="A19" i="61" l="1"/>
  <c r="A17" i="61" l="1"/>
  <c r="A16" i="61" l="1"/>
</calcChain>
</file>

<file path=xl/sharedStrings.xml><?xml version="1.0" encoding="utf-8"?>
<sst xmlns="http://schemas.openxmlformats.org/spreadsheetml/2006/main" count="577" uniqueCount="257">
  <si>
    <t>Financial Oversight &amp; Management Board for Puerto Rico</t>
  </si>
  <si>
    <t>Puerto Rico Electric Power Authority</t>
  </si>
  <si>
    <t>Report Date</t>
  </si>
  <si>
    <t>I.</t>
  </si>
  <si>
    <t>Table of Contents ("CTRL + [" to go to each file)</t>
  </si>
  <si>
    <t xml:space="preserve"> Financial:</t>
  </si>
  <si>
    <t>General Text Color Guides</t>
  </si>
  <si>
    <t>Text Colors:</t>
  </si>
  <si>
    <t>Black</t>
  </si>
  <si>
    <t>(Intra Sheet) Formulas</t>
  </si>
  <si>
    <t>Green</t>
  </si>
  <si>
    <t>Link to another Tab</t>
  </si>
  <si>
    <t>Blue</t>
  </si>
  <si>
    <t>Hardcoded figures</t>
  </si>
  <si>
    <t>Red</t>
  </si>
  <si>
    <t>Key Assumption</t>
  </si>
  <si>
    <t>Preliminary Subject to Material Change</t>
  </si>
  <si>
    <t>B2A Summary</t>
  </si>
  <si>
    <t>As Of:</t>
  </si>
  <si>
    <t>($ millions)</t>
  </si>
  <si>
    <t xml:space="preserve">YTD </t>
  </si>
  <si>
    <t>Summary</t>
  </si>
  <si>
    <t>A.</t>
  </si>
  <si>
    <t>Revenue</t>
  </si>
  <si>
    <t>Total Gross Revenue</t>
  </si>
  <si>
    <t>Other Income</t>
  </si>
  <si>
    <t>Total Unconsolidated Revenue</t>
  </si>
  <si>
    <t>Bad Debt Expense</t>
  </si>
  <si>
    <t>CILT &amp; Subsidies</t>
  </si>
  <si>
    <t>Total Consolidated Revenue</t>
  </si>
  <si>
    <t>B.</t>
  </si>
  <si>
    <t>Expenses</t>
  </si>
  <si>
    <t>Fuel &amp; Purchased Power</t>
  </si>
  <si>
    <t>Genco:</t>
  </si>
  <si>
    <t>GenCo Operating &amp; Maintenance Expenses</t>
  </si>
  <si>
    <t>Total Genco Expenses</t>
  </si>
  <si>
    <t>HoldCo:</t>
  </si>
  <si>
    <t>HoldCo Labor Operating Expenses</t>
  </si>
  <si>
    <t>HoldCo Non-Labor / Other Operating Expenses</t>
  </si>
  <si>
    <t>Shared Services Agreement</t>
  </si>
  <si>
    <t>HoldCo Maintenance Projects Expense</t>
  </si>
  <si>
    <t xml:space="preserve">Total HoldCo Expenses </t>
  </si>
  <si>
    <t>HydroCo:</t>
  </si>
  <si>
    <t>HydroCo Labor Operating Expenses</t>
  </si>
  <si>
    <t>HydroCo Non-Labor / Other Operating Expenses</t>
  </si>
  <si>
    <t>HydroCo Maintenance Projects Expense</t>
  </si>
  <si>
    <t>Total HydroCo Expenses</t>
  </si>
  <si>
    <t>GridCo:</t>
  </si>
  <si>
    <t>GridCo Operating &amp; Maintenance Expenses</t>
  </si>
  <si>
    <t>Total Expenses</t>
  </si>
  <si>
    <t>C.</t>
  </si>
  <si>
    <t>Net Balance</t>
  </si>
  <si>
    <t>Puerto Rico Electric Power Authority (LUMA)</t>
  </si>
  <si>
    <t>Monthly Revenues</t>
  </si>
  <si>
    <t>Revenues</t>
  </si>
  <si>
    <t>Basic Revenue</t>
  </si>
  <si>
    <t>Residential</t>
  </si>
  <si>
    <t>Commercial</t>
  </si>
  <si>
    <t>Industrial</t>
  </si>
  <si>
    <t>Public Lighting</t>
  </si>
  <si>
    <t>Agricultural</t>
  </si>
  <si>
    <t>Others</t>
  </si>
  <si>
    <t>Total Basic Revenue</t>
  </si>
  <si>
    <t>Total Purchased Power</t>
  </si>
  <si>
    <t>CILT</t>
  </si>
  <si>
    <t>Total CILT</t>
  </si>
  <si>
    <t>Subsidies</t>
  </si>
  <si>
    <t>Total Subsidies</t>
  </si>
  <si>
    <t>Energy Efficiency</t>
  </si>
  <si>
    <t>Total Energy Efficiency</t>
  </si>
  <si>
    <t>Total Revenue</t>
  </si>
  <si>
    <t>Check</t>
  </si>
  <si>
    <t>YTD Certified Budget</t>
  </si>
  <si>
    <t>Fuel and Purchased Power</t>
  </si>
  <si>
    <t>Fuel</t>
  </si>
  <si>
    <t>Purchased Power - Conventional Power</t>
  </si>
  <si>
    <t>Purchased Power - Renewable Power</t>
  </si>
  <si>
    <t>Total Fuel and Purchased Power</t>
  </si>
  <si>
    <t>GenCo - Operations &amp; Maintenance Expenses</t>
  </si>
  <si>
    <t>Labor</t>
  </si>
  <si>
    <t>Genco Labor Operating Expenses</t>
  </si>
  <si>
    <t>Genco Non-Labor / Other Operating Expenses</t>
  </si>
  <si>
    <t>Shared Services Agreement Impact</t>
  </si>
  <si>
    <t>Maintenance Projects Expenses</t>
  </si>
  <si>
    <t>Total Genco Labor Operating Expenses</t>
  </si>
  <si>
    <t>HoldCo (PropertyCo) – Operating &amp; Maintenance Expenses</t>
  </si>
  <si>
    <t>Salaries &amp; Wages</t>
  </si>
  <si>
    <t>Pension &amp; Benefits</t>
  </si>
  <si>
    <t>Overtime Pay</t>
  </si>
  <si>
    <t>Overtime Benefits</t>
  </si>
  <si>
    <t>Non-Labor / Other Operating Expenses</t>
  </si>
  <si>
    <t>Materials &amp; Supplies</t>
  </si>
  <si>
    <t>Transportation, Per Diem, and Mileage</t>
  </si>
  <si>
    <t>Retiree Medical Benefits</t>
  </si>
  <si>
    <t>Security</t>
  </si>
  <si>
    <t>Utilities &amp; Rents</t>
  </si>
  <si>
    <t>Legal Services</t>
  </si>
  <si>
    <t>Professional &amp; Technical Outsourced Services</t>
  </si>
  <si>
    <t>Regulation and Environmental Inspection</t>
  </si>
  <si>
    <t>External Audit Services</t>
  </si>
  <si>
    <t>Equipment, Inspections, Repairs &amp; Other</t>
  </si>
  <si>
    <t>PREPA Restructuring &amp; Title III</t>
  </si>
  <si>
    <t>FOMB Advisor Costs allocated to PREPA</t>
  </si>
  <si>
    <t>Total HoldCo Non-Labor / Other Operation Expenses</t>
  </si>
  <si>
    <t>Shared Service Agreement</t>
  </si>
  <si>
    <t>Total HoldCo Operating &amp; Maintenance Expenses</t>
  </si>
  <si>
    <t>D.</t>
  </si>
  <si>
    <t>HydroCo – Operating &amp; Maintenance Expenses</t>
  </si>
  <si>
    <t>Total HydroCo Labor Operating Expenses</t>
  </si>
  <si>
    <t>Total HydroCo Non-Labor / Other Operating Expenses</t>
  </si>
  <si>
    <t>Total HydroCo Operating &amp; Maintenance Expenses</t>
  </si>
  <si>
    <t>E.</t>
  </si>
  <si>
    <t>GridCo Labor Operating Expenses</t>
  </si>
  <si>
    <t>GridCo Non-Labor / Other Operating Expenses</t>
  </si>
  <si>
    <t>2% Reserve</t>
  </si>
  <si>
    <t>Total GridCo Operating &amp; Maintenance Expenses</t>
  </si>
  <si>
    <t>Total Operating &amp; Maintenance Expenses</t>
  </si>
  <si>
    <t>Variance Detail</t>
  </si>
  <si>
    <t>Variance #1</t>
  </si>
  <si>
    <t xml:space="preserve">FOMB Category: </t>
  </si>
  <si>
    <t xml:space="preserve">Account: </t>
  </si>
  <si>
    <t>Budget
YTD</t>
  </si>
  <si>
    <t>Actual
YTD</t>
  </si>
  <si>
    <t>Variance
($)</t>
  </si>
  <si>
    <t>Variance
(%)</t>
  </si>
  <si>
    <t>Variance Explanation</t>
  </si>
  <si>
    <t>Root Cause</t>
  </si>
  <si>
    <t>Corrective Action</t>
  </si>
  <si>
    <t>Variance #2</t>
  </si>
  <si>
    <t>Budget Horizontal Variance YTD
(%)</t>
  </si>
  <si>
    <t>Variance #3</t>
  </si>
  <si>
    <t>FOMB Category:</t>
  </si>
  <si>
    <t>Variance #4</t>
  </si>
  <si>
    <t>Account:</t>
  </si>
  <si>
    <t>Pension and Benefits</t>
  </si>
  <si>
    <t>HoldCo- Pension and Benefits</t>
  </si>
  <si>
    <t>Pension Benefits</t>
  </si>
  <si>
    <t>Loan Guaranties</t>
  </si>
  <si>
    <t>Work Comp Insurance</t>
  </si>
  <si>
    <t>Social Security</t>
  </si>
  <si>
    <t>Medicare</t>
  </si>
  <si>
    <t>Christmas Bonus</t>
  </si>
  <si>
    <t>Health Plan</t>
  </si>
  <si>
    <t>Total</t>
  </si>
  <si>
    <t>HydroCo - Pension and Benefits</t>
  </si>
  <si>
    <t xml:space="preserve">Health Plan </t>
  </si>
  <si>
    <t xml:space="preserve">EXHIBIT 1 - BUDGET - REVENUES </t>
  </si>
  <si>
    <t>PUERTO RICO ELECTRIC POWER AUTHORITY</t>
  </si>
  <si>
    <t>Q1</t>
  </si>
  <si>
    <t>Q2</t>
  </si>
  <si>
    <t>Q3</t>
  </si>
  <si>
    <t>Q4</t>
  </si>
  <si>
    <t>$ Thousand</t>
  </si>
  <si>
    <t>BASIC REVENUE</t>
  </si>
  <si>
    <t xml:space="preserve">  Residential</t>
  </si>
  <si>
    <t xml:space="preserve">  Commercial</t>
  </si>
  <si>
    <t xml:space="preserve">  Industrial</t>
  </si>
  <si>
    <t xml:space="preserve">  Public Lighting</t>
  </si>
  <si>
    <t xml:space="preserve">  Agricultural</t>
  </si>
  <si>
    <t xml:space="preserve">  Others</t>
  </si>
  <si>
    <t xml:space="preserve">    TOTAL</t>
  </si>
  <si>
    <t xml:space="preserve">    Total</t>
  </si>
  <si>
    <t>FUEL &amp; PURCHASED POWER</t>
  </si>
  <si>
    <t>SUBSIDIES</t>
  </si>
  <si>
    <t xml:space="preserve"> </t>
  </si>
  <si>
    <t>EXHIBIT 1 - BUDGET - EXPENSES</t>
  </si>
  <si>
    <t xml:space="preserve"> BUDGET - EXPENSES ALLOCATION</t>
  </si>
  <si>
    <t>TOTAL</t>
  </si>
  <si>
    <t>CHECK</t>
  </si>
  <si>
    <t xml:space="preserve">A. Fuel &amp; Purchased Power </t>
  </si>
  <si>
    <t>Purchased Power - Conventional</t>
  </si>
  <si>
    <t>Purchased Power - Renewable</t>
  </si>
  <si>
    <t>Total Fuel &amp; Purchase Power Expenses</t>
  </si>
  <si>
    <t>B. GenCo - Operations &amp; Maintenance Expenses</t>
  </si>
  <si>
    <t xml:space="preserve">Labor </t>
  </si>
  <si>
    <t>Total GenCo Operating &amp; Maintenance Expenses</t>
  </si>
  <si>
    <t>C. HoldCo (PropertyCo) – Operating &amp; Maintenance Expenses</t>
  </si>
  <si>
    <t>Total HoldCo Labor Operating Expenses</t>
  </si>
  <si>
    <t>D. HydroCo – Operating &amp; Maintenance Expenses</t>
  </si>
  <si>
    <t>Surplus / (Deficit) Before Legacy Pension and Debt Obligations</t>
  </si>
  <si>
    <t xml:space="preserve"> Residential</t>
  </si>
  <si>
    <t xml:space="preserve"> Commercial</t>
  </si>
  <si>
    <t xml:space="preserve"> Industrial</t>
  </si>
  <si>
    <t xml:space="preserve"> Public Lighting</t>
  </si>
  <si>
    <t xml:space="preserve"> Agricultural</t>
  </si>
  <si>
    <t xml:space="preserve"> Others</t>
  </si>
  <si>
    <t>FY25 Monthly B2A Summary</t>
  </si>
  <si>
    <t>FISCAL YEAR 2025</t>
  </si>
  <si>
    <t>FY25 Monthly Revenues</t>
  </si>
  <si>
    <t>FY25 Monthly Expenses</t>
  </si>
  <si>
    <t>FY25</t>
  </si>
  <si>
    <t>FY25 Budget</t>
  </si>
  <si>
    <t xml:space="preserve">FY25 MONTHLY BUDGET - EXPENSES </t>
  </si>
  <si>
    <t>FY25 Total</t>
  </si>
  <si>
    <t>CW Pension Loan Rollover</t>
  </si>
  <si>
    <t>Additional Available Funds</t>
  </si>
  <si>
    <t>GenCo - Operator Service Fees</t>
  </si>
  <si>
    <t>GridCo - Operator Service Fees</t>
  </si>
  <si>
    <t>Generation Maintenance Reserve</t>
  </si>
  <si>
    <t>Pension Expense</t>
  </si>
  <si>
    <t>Total HoldCo Operating &amp; Maintenance Expenses (including Pensions)</t>
  </si>
  <si>
    <t>Non-Federally Funded Necessary Maintenance Expenses</t>
  </si>
  <si>
    <t>Total HoldCo Labor Operating Expense</t>
  </si>
  <si>
    <t>IT - Maintenance &amp; Corporate Services</t>
  </si>
  <si>
    <t>VARIANCE</t>
  </si>
  <si>
    <t>Address</t>
  </si>
  <si>
    <t>ValueType</t>
  </si>
  <si>
    <t>Value</t>
  </si>
  <si>
    <t>ConnectionName</t>
  </si>
  <si>
    <t>Sheet Name</t>
  </si>
  <si>
    <t>Start Cell</t>
  </si>
  <si>
    <t>End Cell</t>
  </si>
  <si>
    <t>BusinessArea Name</t>
  </si>
  <si>
    <t>ReportGroup Name</t>
  </si>
  <si>
    <t>Report Name</t>
  </si>
  <si>
    <t>Parameters</t>
  </si>
  <si>
    <t>Rows</t>
  </si>
  <si>
    <t>Status</t>
  </si>
  <si>
    <t>StartTime</t>
  </si>
  <si>
    <t>EndTime</t>
  </si>
  <si>
    <t>Json ParameterString</t>
  </si>
  <si>
    <t>User Id</t>
  </si>
  <si>
    <t>BusinessArea Id</t>
  </si>
  <si>
    <t>ReportGroup Id</t>
  </si>
  <si>
    <t>Report Id</t>
  </si>
  <si>
    <t>Headers</t>
  </si>
  <si>
    <t>Sheet Name Ref</t>
  </si>
  <si>
    <t>Pivot Sheet Name Ref</t>
  </si>
  <si>
    <t>Splash SessionID</t>
  </si>
  <si>
    <t>Process Id</t>
  </si>
  <si>
    <t>Pivot Sheet Name</t>
  </si>
  <si>
    <t>Old ProcessId</t>
  </si>
  <si>
    <t>ColumnsCount</t>
  </si>
  <si>
    <t>Download Time</t>
  </si>
  <si>
    <t>Error Message</t>
  </si>
  <si>
    <t>Display Title</t>
  </si>
  <si>
    <t>MandatoryParameters</t>
  </si>
  <si>
    <t>IsModifyReport</t>
  </si>
  <si>
    <t>UserGroup ID</t>
  </si>
  <si>
    <t>Responsibility Name</t>
  </si>
  <si>
    <t>Modify Report JSON</t>
  </si>
  <si>
    <t>OCRunType</t>
  </si>
  <si>
    <t>OcTrialConnectionId</t>
  </si>
  <si>
    <t>Balance Details</t>
  </si>
  <si>
    <t>BALANCESHEET</t>
  </si>
  <si>
    <t>REFRESHEDTIME</t>
  </si>
  <si>
    <t>Gridco Shared Services Agreement Impact</t>
  </si>
  <si>
    <t>GridCo Shared Services Agreement Impact</t>
  </si>
  <si>
    <t>Balance Details^1</t>
  </si>
  <si>
    <t>Balance Details^2</t>
  </si>
  <si>
    <t>TIME=May/01/2025 09:48 AM</t>
  </si>
  <si>
    <r>
      <t>E. GridCo - Operating &amp; Maintenance Expenses</t>
    </r>
    <r>
      <rPr>
        <b/>
        <vertAlign val="superscript"/>
        <sz val="10"/>
        <color rgb="FF000000"/>
        <rFont val="Times New Roman"/>
        <family val="1"/>
      </rPr>
      <t>1</t>
    </r>
  </si>
  <si>
    <t>Note:</t>
  </si>
  <si>
    <t>TIME=Aug/08/2025 03:56 PM</t>
  </si>
  <si>
    <t>TIME=Aug/08/2025 03:57 PM</t>
  </si>
  <si>
    <t xml:space="preserve">Numbers in this report reflect PREB’s June 10, 2025, budget amendment approval. </t>
  </si>
  <si>
    <r>
      <t>GridCo - Operating &amp; Maintenance Expenses</t>
    </r>
    <r>
      <rPr>
        <b/>
        <vertAlign val="superscript"/>
        <sz val="10"/>
        <color rgb="FF000000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</si>
</sst>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_)"/>
    <numFmt numFmtId="167" formatCode="0.00_);\(0.00\)"/>
    <numFmt numFmtId="168" formatCode="&quot;$&quot;#,,"/>
    <numFmt numFmtId="169" formatCode="[$-409]mmmm\-yy;@"/>
    <numFmt numFmtId="170" formatCode="0.0%_);[Red]\(0.0%\)"/>
    <numFmt numFmtId="171" formatCode="&quot;$&quot;#,##0"/>
    <numFmt numFmtId="172" formatCode="&quot;$&quot;#,##0_);\(&quot;$&quot;#,##0\);_(* &quot; - &quot;_)"/>
    <numFmt numFmtId="173" formatCode="0.000"/>
    <numFmt numFmtId="174" formatCode="[$-409]mmm\-yy;@"/>
    <numFmt numFmtId="175" formatCode="_(* #,##0.0_);_(* \(#,##0.0\);_(* &quot;-&quot;??_);_(@_)"/>
    <numFmt numFmtId="176" formatCode="0.0%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</font>
    <font>
      <b/>
      <sz val="22"/>
      <color theme="1"/>
      <name val="Calibri"/>
      <family val="2"/>
      <scheme val="minor"/>
    </font>
    <font>
      <b/>
      <sz val="10"/>
      <color theme="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70C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b/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0"/>
      <name val="Arial"/>
      <family val="2"/>
    </font>
    <font>
      <b/>
      <sz val="15"/>
      <color theme="0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FF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000000"/>
      <name val="Times New Roman"/>
      <family val="1"/>
    </font>
    <font>
      <vertAlign val="superscript"/>
      <sz val="10"/>
      <color theme="1"/>
      <name val="Arial"/>
      <family val="2"/>
    </font>
    <font>
      <sz val="10"/>
      <color rgb="FF00B050"/>
      <name val="Arial"/>
      <family val="2"/>
    </font>
    <font>
      <b/>
      <vertAlign val="superscript"/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7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166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8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15" fillId="0" borderId="0"/>
    <xf numFmtId="43" fontId="1" fillId="0" borderId="0" applyFont="0" applyFill="0" applyBorder="0" applyAlignment="0" applyProtection="0"/>
  </cellStyleXfs>
  <cellXfs count="317">
    <xf numFmtId="0" fontId="0" fillId="0" borderId="0" xfId="0"/>
    <xf numFmtId="43" fontId="0" fillId="0" borderId="0" xfId="7" applyFont="1"/>
    <xf numFmtId="0" fontId="10" fillId="0" borderId="0" xfId="0" applyFont="1" applyAlignment="1">
      <alignment horizontal="left" vertical="center" readingOrder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left" indent="1"/>
    </xf>
    <xf numFmtId="164" fontId="0" fillId="0" borderId="0" xfId="1" applyNumberFormat="1" applyFont="1" applyFill="1"/>
    <xf numFmtId="167" fontId="0" fillId="0" borderId="0" xfId="0" applyNumberFormat="1"/>
    <xf numFmtId="0" fontId="2" fillId="0" borderId="0" xfId="0" applyFont="1" applyAlignment="1">
      <alignment horizontal="left"/>
    </xf>
    <xf numFmtId="10" fontId="0" fillId="0" borderId="0" xfId="3" applyNumberFormat="1" applyFont="1"/>
    <xf numFmtId="165" fontId="0" fillId="0" borderId="0" xfId="2" applyNumberFormat="1" applyFont="1"/>
    <xf numFmtId="165" fontId="0" fillId="0" borderId="0" xfId="2" applyNumberFormat="1" applyFont="1" applyFill="1"/>
    <xf numFmtId="165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wrapText="1"/>
    </xf>
    <xf numFmtId="168" fontId="0" fillId="0" borderId="0" xfId="0" applyNumberFormat="1"/>
    <xf numFmtId="168" fontId="0" fillId="0" borderId="0" xfId="2" applyNumberFormat="1" applyFont="1"/>
    <xf numFmtId="0" fontId="3" fillId="5" borderId="6" xfId="0" applyFont="1" applyFill="1" applyBorder="1"/>
    <xf numFmtId="169" fontId="12" fillId="6" borderId="0" xfId="0" applyNumberFormat="1" applyFont="1" applyFill="1" applyAlignment="1">
      <alignment horizontal="centerContinuous" vertical="center" wrapText="1"/>
    </xf>
    <xf numFmtId="0" fontId="12" fillId="6" borderId="0" xfId="0" applyFont="1" applyFill="1" applyAlignment="1">
      <alignment horizontal="centerContinuous" vertical="center" wrapText="1"/>
    </xf>
    <xf numFmtId="0" fontId="12" fillId="6" borderId="0" xfId="0" applyFont="1" applyFill="1" applyAlignment="1">
      <alignment horizontal="center" vertical="center" wrapText="1"/>
    </xf>
    <xf numFmtId="164" fontId="17" fillId="0" borderId="0" xfId="1" applyNumberFormat="1" applyFont="1" applyFill="1"/>
    <xf numFmtId="164" fontId="2" fillId="0" borderId="5" xfId="1" applyNumberFormat="1" applyFont="1" applyFill="1" applyBorder="1"/>
    <xf numFmtId="164" fontId="16" fillId="3" borderId="0" xfId="1" applyNumberFormat="1" applyFont="1" applyFill="1"/>
    <xf numFmtId="165" fontId="2" fillId="0" borderId="5" xfId="0" applyNumberFormat="1" applyFont="1" applyBorder="1"/>
    <xf numFmtId="165" fontId="2" fillId="0" borderId="12" xfId="0" applyNumberFormat="1" applyFont="1" applyBorder="1"/>
    <xf numFmtId="10" fontId="2" fillId="0" borderId="12" xfId="3" applyNumberFormat="1" applyFont="1" applyBorder="1"/>
    <xf numFmtId="165" fontId="2" fillId="0" borderId="13" xfId="0" applyNumberFormat="1" applyFont="1" applyBorder="1"/>
    <xf numFmtId="165" fontId="2" fillId="0" borderId="13" xfId="2" applyNumberFormat="1" applyFont="1" applyBorder="1"/>
    <xf numFmtId="10" fontId="2" fillId="0" borderId="13" xfId="3" applyNumberFormat="1" applyFont="1" applyBorder="1"/>
    <xf numFmtId="165" fontId="2" fillId="0" borderId="5" xfId="2" applyNumberFormat="1" applyFont="1" applyBorder="1"/>
    <xf numFmtId="170" fontId="0" fillId="0" borderId="0" xfId="3" applyNumberFormat="1" applyFont="1" applyFill="1" applyAlignment="1">
      <alignment horizontal="right"/>
    </xf>
    <xf numFmtId="170" fontId="2" fillId="0" borderId="5" xfId="3" applyNumberFormat="1" applyFont="1" applyFill="1" applyBorder="1" applyAlignment="1">
      <alignment horizontal="right"/>
    </xf>
    <xf numFmtId="10" fontId="0" fillId="0" borderId="0" xfId="3" applyNumberFormat="1" applyFont="1" applyAlignment="1">
      <alignment horizontal="right"/>
    </xf>
    <xf numFmtId="0" fontId="0" fillId="0" borderId="0" xfId="0" applyAlignment="1">
      <alignment horizontal="right"/>
    </xf>
    <xf numFmtId="170" fontId="2" fillId="0" borderId="13" xfId="3" applyNumberFormat="1" applyFont="1" applyFill="1" applyBorder="1" applyAlignment="1">
      <alignment horizontal="right"/>
    </xf>
    <xf numFmtId="164" fontId="5" fillId="0" borderId="0" xfId="1" applyNumberFormat="1" applyFont="1" applyFill="1"/>
    <xf numFmtId="10" fontId="0" fillId="0" borderId="0" xfId="3" applyNumberFormat="1" applyFont="1" applyFill="1"/>
    <xf numFmtId="165" fontId="2" fillId="0" borderId="13" xfId="2" applyNumberFormat="1" applyFont="1" applyFill="1" applyBorder="1"/>
    <xf numFmtId="165" fontId="2" fillId="0" borderId="5" xfId="2" applyNumberFormat="1" applyFont="1" applyFill="1" applyBorder="1"/>
    <xf numFmtId="0" fontId="14" fillId="0" borderId="0" xfId="0" applyFont="1"/>
    <xf numFmtId="0" fontId="14" fillId="2" borderId="0" xfId="0" applyFont="1" applyFill="1"/>
    <xf numFmtId="0" fontId="23" fillId="0" borderId="0" xfId="21" applyFont="1"/>
    <xf numFmtId="0" fontId="21" fillId="0" borderId="8" xfId="21" applyFont="1" applyBorder="1"/>
    <xf numFmtId="0" fontId="21" fillId="0" borderId="11" xfId="21" applyFont="1" applyBorder="1" applyAlignment="1">
      <alignment horizontal="right"/>
    </xf>
    <xf numFmtId="0" fontId="21" fillId="0" borderId="2" xfId="21" applyFont="1" applyBorder="1"/>
    <xf numFmtId="0" fontId="21" fillId="0" borderId="0" xfId="21" applyFont="1"/>
    <xf numFmtId="0" fontId="24" fillId="0" borderId="8" xfId="0" applyFont="1" applyBorder="1" applyAlignment="1">
      <alignment vertical="center"/>
    </xf>
    <xf numFmtId="0" fontId="23" fillId="0" borderId="11" xfId="21" applyFont="1" applyBorder="1"/>
    <xf numFmtId="0" fontId="23" fillId="2" borderId="0" xfId="21" applyFont="1" applyFill="1"/>
    <xf numFmtId="0" fontId="25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3" fillId="0" borderId="2" xfId="21" applyFont="1" applyBorder="1" applyAlignment="1">
      <alignment horizontal="left" indent="1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 indent="1"/>
    </xf>
    <xf numFmtId="0" fontId="21" fillId="0" borderId="4" xfId="21" applyFont="1" applyBorder="1"/>
    <xf numFmtId="0" fontId="23" fillId="0" borderId="4" xfId="21" applyFont="1" applyBorder="1" applyAlignment="1">
      <alignment horizontal="left" indent="1"/>
    </xf>
    <xf numFmtId="0" fontId="23" fillId="0" borderId="7" xfId="21" applyFont="1" applyBorder="1"/>
    <xf numFmtId="0" fontId="21" fillId="0" borderId="9" xfId="21" applyFont="1" applyBorder="1"/>
    <xf numFmtId="0" fontId="26" fillId="0" borderId="8" xfId="21" applyFont="1" applyBorder="1" applyAlignment="1">
      <alignment horizontal="left"/>
    </xf>
    <xf numFmtId="0" fontId="27" fillId="0" borderId="2" xfId="21" applyFont="1" applyBorder="1" applyAlignment="1">
      <alignment horizontal="left" indent="2"/>
    </xf>
    <xf numFmtId="0" fontId="23" fillId="0" borderId="2" xfId="21" applyFont="1" applyBorder="1" applyAlignment="1">
      <alignment horizontal="left" indent="2"/>
    </xf>
    <xf numFmtId="0" fontId="21" fillId="0" borderId="2" xfId="21" applyFont="1" applyBorder="1" applyAlignment="1">
      <alignment horizontal="left" indent="1"/>
    </xf>
    <xf numFmtId="0" fontId="26" fillId="0" borderId="2" xfId="21" applyFont="1" applyBorder="1" applyAlignment="1">
      <alignment horizontal="left"/>
    </xf>
    <xf numFmtId="1" fontId="23" fillId="0" borderId="0" xfId="21" applyNumberFormat="1" applyFont="1"/>
    <xf numFmtId="0" fontId="21" fillId="0" borderId="2" xfId="21" applyFont="1" applyBorder="1" applyAlignment="1">
      <alignment horizontal="left" vertical="top" indent="1"/>
    </xf>
    <xf numFmtId="0" fontId="28" fillId="0" borderId="0" xfId="21" applyFont="1"/>
    <xf numFmtId="0" fontId="2" fillId="0" borderId="0" xfId="0" applyFont="1" applyAlignment="1">
      <alignment horizontal="right"/>
    </xf>
    <xf numFmtId="164" fontId="14" fillId="0" borderId="0" xfId="1" applyNumberFormat="1" applyFont="1" applyFill="1" applyBorder="1" applyAlignment="1">
      <alignment horizontal="left" indent="1"/>
    </xf>
    <xf numFmtId="164" fontId="19" fillId="0" borderId="0" xfId="2" applyNumberFormat="1" applyFont="1" applyFill="1" applyBorder="1"/>
    <xf numFmtId="164" fontId="19" fillId="0" borderId="0" xfId="1" applyNumberFormat="1" applyFont="1" applyFill="1" applyBorder="1" applyAlignment="1">
      <alignment horizontal="left" indent="1"/>
    </xf>
    <xf numFmtId="165" fontId="19" fillId="0" borderId="0" xfId="2" applyNumberFormat="1" applyFont="1" applyFill="1" applyBorder="1" applyAlignment="1">
      <alignment horizontal="left" indent="1"/>
    </xf>
    <xf numFmtId="0" fontId="2" fillId="0" borderId="0" xfId="21" applyFont="1" applyAlignment="1">
      <alignment horizontal="left" indent="1"/>
    </xf>
    <xf numFmtId="0" fontId="22" fillId="0" borderId="0" xfId="0" applyFont="1" applyAlignment="1">
      <alignment horizontal="right"/>
    </xf>
    <xf numFmtId="0" fontId="1" fillId="0" borderId="0" xfId="21"/>
    <xf numFmtId="171" fontId="0" fillId="0" borderId="0" xfId="0" applyNumberFormat="1" applyAlignment="1">
      <alignment horizontal="right"/>
    </xf>
    <xf numFmtId="171" fontId="23" fillId="0" borderId="0" xfId="1" applyNumberFormat="1" applyFont="1" applyAlignment="1">
      <alignment horizontal="right"/>
    </xf>
    <xf numFmtId="171" fontId="28" fillId="0" borderId="0" xfId="1" applyNumberFormat="1" applyFont="1" applyAlignment="1">
      <alignment horizontal="right"/>
    </xf>
    <xf numFmtId="172" fontId="23" fillId="2" borderId="0" xfId="21" applyNumberFormat="1" applyFont="1" applyFill="1"/>
    <xf numFmtId="44" fontId="9" fillId="2" borderId="0" xfId="9" applyNumberFormat="1" applyFont="1" applyFill="1"/>
    <xf numFmtId="172" fontId="0" fillId="0" borderId="0" xfId="0" applyNumberFormat="1"/>
    <xf numFmtId="172" fontId="23" fillId="0" borderId="3" xfId="1" applyNumberFormat="1" applyFont="1" applyFill="1" applyBorder="1" applyAlignment="1">
      <alignment horizontal="right"/>
    </xf>
    <xf numFmtId="172" fontId="21" fillId="0" borderId="11" xfId="1" applyNumberFormat="1" applyFont="1" applyFill="1" applyBorder="1" applyAlignment="1">
      <alignment horizontal="right"/>
    </xf>
    <xf numFmtId="172" fontId="21" fillId="0" borderId="3" xfId="1" applyNumberFormat="1" applyFont="1" applyFill="1" applyBorder="1" applyAlignment="1">
      <alignment horizontal="right"/>
    </xf>
    <xf numFmtId="172" fontId="23" fillId="0" borderId="7" xfId="1" applyNumberFormat="1" applyFont="1" applyFill="1" applyBorder="1" applyAlignment="1">
      <alignment horizontal="right"/>
    </xf>
    <xf numFmtId="172" fontId="23" fillId="0" borderId="3" xfId="1" applyNumberFormat="1" applyFont="1" applyBorder="1" applyAlignment="1">
      <alignment horizontal="right"/>
    </xf>
    <xf numFmtId="171" fontId="23" fillId="0" borderId="11" xfId="1" applyNumberFormat="1" applyFont="1" applyFill="1" applyBorder="1" applyAlignment="1">
      <alignment horizontal="right"/>
    </xf>
    <xf numFmtId="17" fontId="2" fillId="0" borderId="0" xfId="21" applyNumberFormat="1" applyFont="1" applyAlignment="1">
      <alignment horizontal="center" vertical="center"/>
    </xf>
    <xf numFmtId="171" fontId="21" fillId="0" borderId="10" xfId="1" applyNumberFormat="1" applyFont="1" applyBorder="1" applyAlignment="1">
      <alignment horizontal="right" wrapText="1"/>
    </xf>
    <xf numFmtId="0" fontId="2" fillId="0" borderId="0" xfId="21" applyFont="1" applyAlignment="1">
      <alignment horizontal="center" vertical="center"/>
    </xf>
    <xf numFmtId="0" fontId="21" fillId="0" borderId="1" xfId="21" applyFont="1" applyBorder="1" applyAlignment="1">
      <alignment horizontal="centerContinuous"/>
    </xf>
    <xf numFmtId="0" fontId="21" fillId="0" borderId="21" xfId="21" applyFont="1" applyBorder="1" applyAlignment="1">
      <alignment horizontal="centerContinuous"/>
    </xf>
    <xf numFmtId="0" fontId="17" fillId="0" borderId="0" xfId="0" applyFont="1"/>
    <xf numFmtId="0" fontId="31" fillId="0" borderId="0" xfId="0" applyFont="1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164" fontId="0" fillId="0" borderId="0" xfId="0" applyNumberFormat="1" applyAlignment="1">
      <alignment horizontal="left" wrapText="1"/>
    </xf>
    <xf numFmtId="164" fontId="0" fillId="0" borderId="0" xfId="0" applyNumberFormat="1"/>
    <xf numFmtId="170" fontId="2" fillId="0" borderId="0" xfId="3" applyNumberFormat="1" applyFont="1" applyFill="1" applyBorder="1" applyAlignment="1">
      <alignment horizontal="right"/>
    </xf>
    <xf numFmtId="164" fontId="17" fillId="0" borderId="0" xfId="1" applyNumberFormat="1" applyFont="1" applyFill="1" applyBorder="1"/>
    <xf numFmtId="164" fontId="0" fillId="0" borderId="0" xfId="1" applyNumberFormat="1" applyFont="1" applyFill="1" applyBorder="1"/>
    <xf numFmtId="170" fontId="0" fillId="0" borderId="0" xfId="3" applyNumberFormat="1" applyFont="1" applyFill="1" applyBorder="1" applyAlignment="1">
      <alignment horizontal="right"/>
    </xf>
    <xf numFmtId="165" fontId="2" fillId="0" borderId="0" xfId="2" applyNumberFormat="1" applyFont="1" applyBorder="1"/>
    <xf numFmtId="168" fontId="0" fillId="0" borderId="0" xfId="2" applyNumberFormat="1" applyFont="1" applyBorder="1"/>
    <xf numFmtId="10" fontId="0" fillId="0" borderId="0" xfId="3" applyNumberFormat="1" applyFont="1" applyBorder="1"/>
    <xf numFmtId="169" fontId="12" fillId="8" borderId="0" xfId="0" applyNumberFormat="1" applyFont="1" applyFill="1" applyAlignment="1">
      <alignment horizontal="centerContinuous" vertical="center" wrapText="1"/>
    </xf>
    <xf numFmtId="0" fontId="12" fillId="8" borderId="0" xfId="0" applyFont="1" applyFill="1" applyAlignment="1">
      <alignment horizontal="centerContinuous" vertical="center" wrapText="1"/>
    </xf>
    <xf numFmtId="0" fontId="12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indent="2"/>
    </xf>
    <xf numFmtId="0" fontId="0" fillId="0" borderId="0" xfId="0" applyAlignment="1">
      <alignment horizontal="left" indent="4"/>
    </xf>
    <xf numFmtId="0" fontId="31" fillId="0" borderId="0" xfId="0" applyFont="1" applyAlignment="1">
      <alignment horizontal="left" indent="1"/>
    </xf>
    <xf numFmtId="0" fontId="19" fillId="0" borderId="0" xfId="22" applyFont="1" applyAlignment="1">
      <alignment horizontal="left" vertical="center" indent="3"/>
    </xf>
    <xf numFmtId="0" fontId="6" fillId="0" borderId="0" xfId="0" applyFont="1" applyAlignment="1">
      <alignment horizontal="left"/>
    </xf>
    <xf numFmtId="164" fontId="1" fillId="0" borderId="0" xfId="1" applyNumberFormat="1" applyFont="1" applyFill="1" applyBorder="1"/>
    <xf numFmtId="170" fontId="1" fillId="0" borderId="0" xfId="3" applyNumberFormat="1" applyFont="1" applyFill="1" applyBorder="1" applyAlignment="1">
      <alignment horizontal="right"/>
    </xf>
    <xf numFmtId="165" fontId="1" fillId="0" borderId="0" xfId="2" applyNumberFormat="1" applyFont="1" applyBorder="1"/>
    <xf numFmtId="165" fontId="17" fillId="0" borderId="0" xfId="2" applyNumberFormat="1" applyFont="1" applyBorder="1"/>
    <xf numFmtId="169" fontId="3" fillId="0" borderId="0" xfId="0" applyNumberFormat="1" applyFont="1"/>
    <xf numFmtId="0" fontId="12" fillId="4" borderId="0" xfId="0" applyFont="1" applyFill="1" applyAlignment="1">
      <alignment horizontal="center" vertical="center" wrapText="1"/>
    </xf>
    <xf numFmtId="169" fontId="12" fillId="4" borderId="0" xfId="0" applyNumberFormat="1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Continuous" vertical="center" wrapText="1"/>
    </xf>
    <xf numFmtId="0" fontId="29" fillId="0" borderId="0" xfId="0" applyFont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left" vertical="center" readingOrder="1"/>
    </xf>
    <xf numFmtId="14" fontId="32" fillId="8" borderId="0" xfId="0" applyNumberFormat="1" applyFont="1" applyFill="1" applyAlignment="1">
      <alignment horizontal="left"/>
    </xf>
    <xf numFmtId="14" fontId="32" fillId="8" borderId="0" xfId="0" applyNumberFormat="1" applyFont="1" applyFill="1"/>
    <xf numFmtId="0" fontId="32" fillId="8" borderId="0" xfId="0" applyFont="1" applyFill="1"/>
    <xf numFmtId="0" fontId="0" fillId="0" borderId="20" xfId="0" applyBorder="1"/>
    <xf numFmtId="0" fontId="0" fillId="0" borderId="27" xfId="0" applyBorder="1"/>
    <xf numFmtId="0" fontId="0" fillId="0" borderId="19" xfId="0" applyBorder="1"/>
    <xf numFmtId="0" fontId="0" fillId="0" borderId="14" xfId="0" applyBorder="1"/>
    <xf numFmtId="0" fontId="34" fillId="0" borderId="0" xfId="0" applyFont="1" applyAlignment="1">
      <alignment horizontal="left" indent="1"/>
    </xf>
    <xf numFmtId="0" fontId="0" fillId="0" borderId="18" xfId="0" applyBorder="1"/>
    <xf numFmtId="0" fontId="2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0" fillId="0" borderId="17" xfId="0" applyBorder="1"/>
    <xf numFmtId="0" fontId="0" fillId="0" borderId="16" xfId="0" applyBorder="1"/>
    <xf numFmtId="0" fontId="0" fillId="0" borderId="15" xfId="0" applyBorder="1"/>
    <xf numFmtId="0" fontId="0" fillId="7" borderId="24" xfId="0" applyFill="1" applyBorder="1" applyAlignment="1">
      <alignment vertical="center"/>
    </xf>
    <xf numFmtId="0" fontId="0" fillId="7" borderId="25" xfId="0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6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7" borderId="26" xfId="0" applyFont="1" applyFill="1" applyBorder="1" applyAlignment="1">
      <alignment horizontal="left" vertical="top"/>
    </xf>
    <xf numFmtId="0" fontId="36" fillId="0" borderId="0" xfId="0" applyFont="1" applyAlignment="1">
      <alignment horizontal="left" indent="1"/>
    </xf>
    <xf numFmtId="0" fontId="3" fillId="4" borderId="0" xfId="0" applyFont="1" applyFill="1"/>
    <xf numFmtId="0" fontId="37" fillId="4" borderId="0" xfId="0" applyFont="1" applyFill="1"/>
    <xf numFmtId="0" fontId="38" fillId="4" borderId="0" xfId="0" applyFont="1" applyFill="1"/>
    <xf numFmtId="0" fontId="37" fillId="4" borderId="1" xfId="0" applyFont="1" applyFill="1" applyBorder="1"/>
    <xf numFmtId="0" fontId="3" fillId="4" borderId="1" xfId="0" applyFont="1" applyFill="1" applyBorder="1"/>
    <xf numFmtId="0" fontId="30" fillId="8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34" fillId="0" borderId="0" xfId="21" applyFont="1"/>
    <xf numFmtId="43" fontId="1" fillId="0" borderId="0" xfId="21" applyNumberFormat="1"/>
    <xf numFmtId="165" fontId="39" fillId="0" borderId="11" xfId="2" applyNumberFormat="1" applyFont="1" applyBorder="1"/>
    <xf numFmtId="43" fontId="1" fillId="0" borderId="0" xfId="1" applyBorder="1"/>
    <xf numFmtId="37" fontId="40" fillId="0" borderId="3" xfId="21" applyNumberFormat="1" applyFont="1" applyBorder="1"/>
    <xf numFmtId="43" fontId="2" fillId="0" borderId="0" xfId="21" applyNumberFormat="1" applyFont="1"/>
    <xf numFmtId="38" fontId="40" fillId="0" borderId="3" xfId="21" applyNumberFormat="1" applyFont="1" applyBorder="1"/>
    <xf numFmtId="0" fontId="2" fillId="0" borderId="0" xfId="21" applyFont="1"/>
    <xf numFmtId="43" fontId="2" fillId="0" borderId="6" xfId="21" applyNumberFormat="1" applyFont="1" applyBorder="1"/>
    <xf numFmtId="164" fontId="40" fillId="0" borderId="3" xfId="1" applyNumberFormat="1" applyFont="1" applyBorder="1"/>
    <xf numFmtId="0" fontId="40" fillId="0" borderId="3" xfId="21" applyFont="1" applyBorder="1"/>
    <xf numFmtId="6" fontId="39" fillId="0" borderId="3" xfId="21" applyNumberFormat="1" applyFont="1" applyBorder="1"/>
    <xf numFmtId="0" fontId="34" fillId="0" borderId="0" xfId="21" applyFont="1" applyAlignment="1">
      <alignment horizontal="center"/>
    </xf>
    <xf numFmtId="0" fontId="6" fillId="0" borderId="0" xfId="21" applyFont="1" applyAlignment="1">
      <alignment horizontal="center"/>
    </xf>
    <xf numFmtId="0" fontId="34" fillId="0" borderId="0" xfId="0" applyFont="1"/>
    <xf numFmtId="43" fontId="34" fillId="0" borderId="0" xfId="0" applyNumberFormat="1" applyFont="1"/>
    <xf numFmtId="0" fontId="34" fillId="0" borderId="0" xfId="0" applyFont="1" applyAlignment="1">
      <alignment horizontal="left" indent="2"/>
    </xf>
    <xf numFmtId="0" fontId="21" fillId="9" borderId="0" xfId="21" applyFont="1" applyFill="1" applyAlignment="1">
      <alignment horizontal="centerContinuous"/>
    </xf>
    <xf numFmtId="172" fontId="23" fillId="0" borderId="0" xfId="1" applyNumberFormat="1" applyFont="1" applyFill="1" applyBorder="1" applyAlignment="1">
      <alignment horizontal="right"/>
    </xf>
    <xf numFmtId="172" fontId="21" fillId="0" borderId="0" xfId="1" applyNumberFormat="1" applyFont="1" applyFill="1" applyBorder="1" applyAlignment="1">
      <alignment horizontal="right"/>
    </xf>
    <xf numFmtId="172" fontId="23" fillId="0" borderId="0" xfId="1" applyNumberFormat="1" applyFont="1" applyBorder="1" applyAlignment="1">
      <alignment horizontal="right"/>
    </xf>
    <xf numFmtId="172" fontId="21" fillId="0" borderId="5" xfId="1" applyNumberFormat="1" applyFont="1" applyFill="1" applyBorder="1" applyAlignment="1">
      <alignment horizontal="right"/>
    </xf>
    <xf numFmtId="0" fontId="21" fillId="9" borderId="22" xfId="21" applyFont="1" applyFill="1" applyBorder="1" applyAlignment="1">
      <alignment horizontal="centerContinuous"/>
    </xf>
    <xf numFmtId="0" fontId="1" fillId="0" borderId="22" xfId="21" applyBorder="1"/>
    <xf numFmtId="7" fontId="1" fillId="0" borderId="0" xfId="21" applyNumberFormat="1"/>
    <xf numFmtId="43" fontId="23" fillId="0" borderId="0" xfId="1" applyFont="1"/>
    <xf numFmtId="164" fontId="23" fillId="0" borderId="0" xfId="21" applyNumberFormat="1" applyFont="1"/>
    <xf numFmtId="173" fontId="23" fillId="0" borderId="0" xfId="21" applyNumberFormat="1" applyFont="1"/>
    <xf numFmtId="164" fontId="1" fillId="0" borderId="0" xfId="21" applyNumberFormat="1"/>
    <xf numFmtId="172" fontId="23" fillId="0" borderId="0" xfId="21" applyNumberFormat="1" applyFont="1"/>
    <xf numFmtId="10" fontId="9" fillId="0" borderId="0" xfId="9" applyNumberFormat="1" applyFont="1"/>
    <xf numFmtId="44" fontId="43" fillId="0" borderId="5" xfId="9" applyNumberFormat="1" applyFont="1" applyBorder="1"/>
    <xf numFmtId="44" fontId="43" fillId="2" borderId="5" xfId="9" applyNumberFormat="1" applyFont="1" applyFill="1" applyBorder="1"/>
    <xf numFmtId="10" fontId="45" fillId="0" borderId="0" xfId="3" applyNumberFormat="1" applyFont="1"/>
    <xf numFmtId="10" fontId="42" fillId="2" borderId="0" xfId="9" applyNumberFormat="1" applyFont="1" applyFill="1"/>
    <xf numFmtId="0" fontId="46" fillId="0" borderId="0" xfId="0" applyFont="1" applyAlignment="1">
      <alignment horizontal="left" vertical="center" readingOrder="1"/>
    </xf>
    <xf numFmtId="0" fontId="46" fillId="0" borderId="8" xfId="0" applyFont="1" applyBorder="1" applyAlignment="1">
      <alignment horizontal="left" vertical="center" readingOrder="1"/>
    </xf>
    <xf numFmtId="0" fontId="0" fillId="0" borderId="5" xfId="0" applyBorder="1"/>
    <xf numFmtId="0" fontId="0" fillId="0" borderId="11" xfId="0" applyBorder="1"/>
    <xf numFmtId="0" fontId="46" fillId="0" borderId="2" xfId="0" applyFont="1" applyBorder="1" applyAlignment="1">
      <alignment horizontal="left" vertical="center" readingOrder="1"/>
    </xf>
    <xf numFmtId="0" fontId="0" fillId="0" borderId="3" xfId="0" applyBorder="1"/>
    <xf numFmtId="0" fontId="46" fillId="0" borderId="4" xfId="0" applyFont="1" applyBorder="1" applyAlignment="1">
      <alignment horizontal="left" vertical="center" readingOrder="1"/>
    </xf>
    <xf numFmtId="0" fontId="0" fillId="0" borderId="1" xfId="0" applyBorder="1"/>
    <xf numFmtId="0" fontId="0" fillId="0" borderId="7" xfId="0" applyBorder="1"/>
    <xf numFmtId="0" fontId="47" fillId="4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35" fillId="5" borderId="9" xfId="0" applyFont="1" applyFill="1" applyBorder="1" applyAlignment="1">
      <alignment horizontal="left" vertical="center" readingOrder="1"/>
    </xf>
    <xf numFmtId="0" fontId="15" fillId="0" borderId="0" xfId="0" applyFont="1" applyAlignment="1">
      <alignment vertical="top"/>
    </xf>
    <xf numFmtId="0" fontId="14" fillId="2" borderId="0" xfId="0" applyFont="1" applyFill="1" applyAlignment="1">
      <alignment horizontal="right"/>
    </xf>
    <xf numFmtId="0" fontId="48" fillId="0" borderId="0" xfId="0" applyFont="1"/>
    <xf numFmtId="164" fontId="2" fillId="0" borderId="5" xfId="2" applyNumberFormat="1" applyFont="1" applyBorder="1"/>
    <xf numFmtId="164" fontId="0" fillId="0" borderId="0" xfId="1" applyNumberFormat="1" applyFont="1"/>
    <xf numFmtId="14" fontId="18" fillId="0" borderId="23" xfId="0" applyNumberFormat="1" applyFont="1" applyBorder="1" applyAlignment="1">
      <alignment horizontal="center"/>
    </xf>
    <xf numFmtId="0" fontId="52" fillId="0" borderId="0" xfId="0" applyFont="1"/>
    <xf numFmtId="165" fontId="39" fillId="0" borderId="3" xfId="2" applyNumberFormat="1" applyFont="1" applyBorder="1"/>
    <xf numFmtId="0" fontId="24" fillId="0" borderId="2" xfId="0" applyFont="1" applyBorder="1" applyAlignment="1">
      <alignment horizontal="left" vertical="center" indent="1"/>
    </xf>
    <xf numFmtId="10" fontId="45" fillId="0" borderId="0" xfId="3" applyNumberFormat="1" applyFont="1" applyBorder="1"/>
    <xf numFmtId="174" fontId="12" fillId="6" borderId="0" xfId="0" applyNumberFormat="1" applyFont="1" applyFill="1" applyAlignment="1">
      <alignment horizontal="center" vertical="center" wrapText="1"/>
    </xf>
    <xf numFmtId="0" fontId="20" fillId="0" borderId="4" xfId="22" applyFont="1" applyBorder="1" applyAlignment="1">
      <alignment horizontal="left" indent="1"/>
    </xf>
    <xf numFmtId="0" fontId="22" fillId="0" borderId="0" xfId="0" applyFont="1"/>
    <xf numFmtId="164" fontId="0" fillId="0" borderId="0" xfId="1" applyNumberFormat="1" applyFont="1" applyFill="1" applyBorder="1" applyAlignment="1">
      <alignment vertical="center"/>
    </xf>
    <xf numFmtId="170" fontId="0" fillId="0" borderId="0" xfId="3" applyNumberFormat="1" applyFont="1" applyFill="1" applyBorder="1" applyAlignment="1">
      <alignment vertical="center"/>
    </xf>
    <xf numFmtId="165" fontId="2" fillId="0" borderId="0" xfId="2" applyNumberFormat="1" applyFont="1" applyFill="1" applyBorder="1"/>
    <xf numFmtId="0" fontId="1" fillId="0" borderId="0" xfId="21" applyAlignment="1">
      <alignment horizontal="left" indent="2"/>
    </xf>
    <xf numFmtId="164" fontId="16" fillId="0" borderId="0" xfId="1" applyNumberFormat="1" applyFont="1" applyFill="1"/>
    <xf numFmtId="0" fontId="0" fillId="0" borderId="0" xfId="0" applyAlignment="1">
      <alignment horizontal="left"/>
    </xf>
    <xf numFmtId="0" fontId="47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indent="2"/>
    </xf>
    <xf numFmtId="10" fontId="0" fillId="0" borderId="0" xfId="0" applyNumberFormat="1" applyAlignment="1">
      <alignment horizontal="left"/>
    </xf>
    <xf numFmtId="0" fontId="23" fillId="0" borderId="2" xfId="21" applyFont="1" applyBorder="1" applyAlignment="1">
      <alignment horizontal="left" vertical="top" indent="2"/>
    </xf>
    <xf numFmtId="164" fontId="2" fillId="0" borderId="0" xfId="1" applyNumberFormat="1" applyFont="1" applyFill="1" applyBorder="1"/>
    <xf numFmtId="164" fontId="2" fillId="0" borderId="13" xfId="2" applyNumberFormat="1" applyFont="1" applyBorder="1"/>
    <xf numFmtId="164" fontId="2" fillId="0" borderId="0" xfId="2" applyNumberFormat="1" applyFont="1" applyBorder="1"/>
    <xf numFmtId="43" fontId="5" fillId="0" borderId="0" xfId="1" applyFont="1" applyFill="1"/>
    <xf numFmtId="164" fontId="17" fillId="0" borderId="0" xfId="2" applyNumberFormat="1" applyFont="1" applyBorder="1"/>
    <xf numFmtId="172" fontId="21" fillId="0" borderId="28" xfId="1" applyNumberFormat="1" applyFont="1" applyFill="1" applyBorder="1" applyAlignment="1">
      <alignment horizontal="right"/>
    </xf>
    <xf numFmtId="172" fontId="23" fillId="0" borderId="29" xfId="1" applyNumberFormat="1" applyFont="1" applyFill="1" applyBorder="1" applyAlignment="1">
      <alignment horizontal="right"/>
    </xf>
    <xf numFmtId="172" fontId="21" fillId="0" borderId="29" xfId="1" applyNumberFormat="1" applyFont="1" applyFill="1" applyBorder="1" applyAlignment="1">
      <alignment horizontal="right"/>
    </xf>
    <xf numFmtId="172" fontId="23" fillId="0" borderId="29" xfId="1" applyNumberFormat="1" applyFont="1" applyBorder="1" applyAlignment="1">
      <alignment horizontal="right"/>
    </xf>
    <xf numFmtId="165" fontId="2" fillId="0" borderId="12" xfId="2" applyNumberFormat="1" applyFont="1" applyBorder="1"/>
    <xf numFmtId="43" fontId="34" fillId="0" borderId="0" xfId="1" applyFont="1"/>
    <xf numFmtId="0" fontId="0" fillId="11" borderId="0" xfId="0" applyFill="1"/>
    <xf numFmtId="0" fontId="49" fillId="11" borderId="0" xfId="0" applyFont="1" applyFill="1"/>
    <xf numFmtId="164" fontId="0" fillId="11" borderId="0" xfId="1" applyNumberFormat="1" applyFont="1" applyFill="1"/>
    <xf numFmtId="164" fontId="0" fillId="11" borderId="0" xfId="0" applyNumberFormat="1" applyFill="1"/>
    <xf numFmtId="164" fontId="50" fillId="11" borderId="0" xfId="1" applyNumberFormat="1" applyFont="1" applyFill="1"/>
    <xf numFmtId="164" fontId="2" fillId="11" borderId="0" xfId="1" applyNumberFormat="1" applyFont="1" applyFill="1"/>
    <xf numFmtId="164" fontId="41" fillId="11" borderId="0" xfId="0" applyNumberFormat="1" applyFont="1" applyFill="1"/>
    <xf numFmtId="164" fontId="51" fillId="11" borderId="0" xfId="0" applyNumberFormat="1" applyFont="1" applyFill="1"/>
    <xf numFmtId="6" fontId="23" fillId="0" borderId="0" xfId="21" applyNumberFormat="1" applyFont="1"/>
    <xf numFmtId="3" fontId="0" fillId="0" borderId="0" xfId="0" applyNumberFormat="1"/>
    <xf numFmtId="44" fontId="23" fillId="0" borderId="7" xfId="2" applyFont="1" applyFill="1" applyBorder="1" applyAlignment="1">
      <alignment horizontal="right"/>
    </xf>
    <xf numFmtId="0" fontId="17" fillId="0" borderId="27" xfId="0" applyFont="1" applyBorder="1"/>
    <xf numFmtId="164" fontId="45" fillId="0" borderId="0" xfId="1" applyNumberFormat="1" applyFont="1" applyBorder="1"/>
    <xf numFmtId="0" fontId="45" fillId="0" borderId="0" xfId="21" applyFont="1"/>
    <xf numFmtId="43" fontId="41" fillId="0" borderId="0" xfId="1" applyFont="1" applyBorder="1"/>
    <xf numFmtId="164" fontId="54" fillId="0" borderId="5" xfId="1" applyNumberFormat="1" applyFont="1" applyBorder="1"/>
    <xf numFmtId="164" fontId="45" fillId="0" borderId="0" xfId="1" applyNumberFormat="1" applyFont="1"/>
    <xf numFmtId="164" fontId="55" fillId="0" borderId="5" xfId="1" applyNumberFormat="1" applyFont="1" applyBorder="1"/>
    <xf numFmtId="164" fontId="56" fillId="0" borderId="0" xfId="21" applyNumberFormat="1" applyFont="1"/>
    <xf numFmtId="0" fontId="57" fillId="0" borderId="0" xfId="21" applyFont="1"/>
    <xf numFmtId="0" fontId="58" fillId="0" borderId="0" xfId="21" applyFont="1"/>
    <xf numFmtId="164" fontId="45" fillId="0" borderId="0" xfId="21" applyNumberFormat="1" applyFont="1"/>
    <xf numFmtId="164" fontId="54" fillId="0" borderId="5" xfId="21" applyNumberFormat="1" applyFont="1" applyBorder="1"/>
    <xf numFmtId="43" fontId="54" fillId="0" borderId="0" xfId="21" applyNumberFormat="1" applyFont="1"/>
    <xf numFmtId="164" fontId="54" fillId="0" borderId="0" xfId="21" applyNumberFormat="1" applyFont="1"/>
    <xf numFmtId="164" fontId="58" fillId="0" borderId="0" xfId="21" applyNumberFormat="1" applyFont="1"/>
    <xf numFmtId="43" fontId="2" fillId="0" borderId="12" xfId="21" applyNumberFormat="1" applyFont="1" applyBorder="1"/>
    <xf numFmtId="43" fontId="58" fillId="0" borderId="0" xfId="1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43" fontId="0" fillId="0" borderId="0" xfId="1" applyFont="1"/>
    <xf numFmtId="43" fontId="0" fillId="0" borderId="0" xfId="0" applyNumberFormat="1"/>
    <xf numFmtId="175" fontId="0" fillId="0" borderId="0" xfId="1" applyNumberFormat="1" applyFont="1"/>
    <xf numFmtId="17" fontId="2" fillId="12" borderId="0" xfId="21" applyNumberFormat="1" applyFont="1" applyFill="1" applyAlignment="1">
      <alignment horizontal="center" vertical="center"/>
    </xf>
    <xf numFmtId="176" fontId="45" fillId="0" borderId="0" xfId="3" applyNumberFormat="1" applyFont="1"/>
    <xf numFmtId="0" fontId="23" fillId="2" borderId="2" xfId="21" applyFont="1" applyFill="1" applyBorder="1" applyAlignment="1">
      <alignment horizontal="left" vertical="top" indent="1"/>
    </xf>
    <xf numFmtId="172" fontId="21" fillId="2" borderId="3" xfId="1" applyNumberFormat="1" applyFont="1" applyFill="1" applyBorder="1" applyAlignment="1">
      <alignment horizontal="right"/>
    </xf>
    <xf numFmtId="176" fontId="45" fillId="2" borderId="0" xfId="3" applyNumberFormat="1" applyFont="1" applyFill="1"/>
    <xf numFmtId="0" fontId="0" fillId="2" borderId="0" xfId="0" applyFill="1"/>
    <xf numFmtId="172" fontId="0" fillId="2" borderId="0" xfId="0" applyNumberFormat="1" applyFill="1"/>
    <xf numFmtId="172" fontId="23" fillId="2" borderId="3" xfId="1" applyNumberFormat="1" applyFont="1" applyFill="1" applyBorder="1" applyAlignment="1">
      <alignment horizontal="right"/>
    </xf>
    <xf numFmtId="0" fontId="5" fillId="0" borderId="0" xfId="0" applyFont="1"/>
    <xf numFmtId="164" fontId="2" fillId="0" borderId="0" xfId="0" applyNumberFormat="1" applyFont="1"/>
    <xf numFmtId="0" fontId="26" fillId="0" borderId="2" xfId="0" applyFont="1" applyBorder="1"/>
    <xf numFmtId="0" fontId="59" fillId="0" borderId="0" xfId="0" applyFont="1" applyAlignment="1">
      <alignment horizontal="right"/>
    </xf>
    <xf numFmtId="0" fontId="61" fillId="0" borderId="0" xfId="0" applyFont="1" applyAlignment="1">
      <alignment vertical="top"/>
    </xf>
    <xf numFmtId="175" fontId="16" fillId="3" borderId="0" xfId="1" applyNumberFormat="1" applyFont="1" applyFill="1"/>
    <xf numFmtId="44" fontId="62" fillId="0" borderId="0" xfId="9" applyNumberFormat="1" applyFont="1"/>
    <xf numFmtId="44" fontId="9" fillId="0" borderId="0" xfId="9" applyNumberFormat="1" applyFont="1"/>
    <xf numFmtId="44" fontId="44" fillId="0" borderId="0" xfId="9" applyNumberFormat="1" applyFont="1"/>
    <xf numFmtId="44" fontId="9" fillId="0" borderId="22" xfId="9" applyNumberFormat="1" applyFont="1" applyBorder="1"/>
    <xf numFmtId="44" fontId="9" fillId="0" borderId="29" xfId="9" applyNumberFormat="1" applyFont="1" applyBorder="1"/>
    <xf numFmtId="164" fontId="2" fillId="0" borderId="13" xfId="1" applyNumberFormat="1" applyFont="1" applyBorder="1"/>
    <xf numFmtId="0" fontId="0" fillId="0" borderId="0" xfId="21" applyFont="1"/>
    <xf numFmtId="169" fontId="12" fillId="4" borderId="0" xfId="0" applyNumberFormat="1" applyFont="1" applyFill="1" applyAlignment="1">
      <alignment horizontal="center" vertical="center" wrapText="1"/>
    </xf>
    <xf numFmtId="0" fontId="30" fillId="8" borderId="0" xfId="0" applyFont="1" applyFill="1" applyAlignment="1">
      <alignment horizontal="left"/>
    </xf>
    <xf numFmtId="0" fontId="32" fillId="8" borderId="0" xfId="0" applyFont="1" applyFill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1" fillId="0" borderId="9" xfId="0" applyFont="1" applyBorder="1" applyAlignment="1">
      <alignment horizontal="left" wrapText="1"/>
    </xf>
    <xf numFmtId="0" fontId="41" fillId="0" borderId="6" xfId="0" applyFont="1" applyBorder="1" applyAlignment="1">
      <alignment horizontal="left" wrapText="1"/>
    </xf>
    <xf numFmtId="0" fontId="41" fillId="0" borderId="10" xfId="0" applyFont="1" applyBorder="1" applyAlignment="1">
      <alignment horizontal="left" wrapText="1"/>
    </xf>
    <xf numFmtId="0" fontId="41" fillId="0" borderId="9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top" wrapText="1"/>
    </xf>
    <xf numFmtId="0" fontId="41" fillId="0" borderId="10" xfId="0" applyFont="1" applyBorder="1" applyAlignment="1">
      <alignment horizontal="left" vertical="top" wrapText="1"/>
    </xf>
    <xf numFmtId="0" fontId="21" fillId="10" borderId="0" xfId="21" applyFont="1" applyFill="1" applyAlignment="1">
      <alignment horizontal="center"/>
    </xf>
    <xf numFmtId="0" fontId="21" fillId="0" borderId="21" xfId="21" applyFont="1" applyBorder="1" applyAlignment="1">
      <alignment horizontal="center"/>
    </xf>
    <xf numFmtId="0" fontId="21" fillId="0" borderId="1" xfId="21" applyFont="1" applyBorder="1" applyAlignment="1">
      <alignment horizontal="center"/>
    </xf>
  </cellXfs>
  <cellStyles count="25">
    <cellStyle name="Comma" xfId="1" builtinId="3"/>
    <cellStyle name="Comma 12" xfId="7" xr:uid="{00000000-0005-0000-0000-000001000000}"/>
    <cellStyle name="Comma 2" xfId="24" xr:uid="{E0AD7BA0-5190-4265-9B66-0828D6BDBD06}"/>
    <cellStyle name="Comma 8" xfId="10" xr:uid="{00000000-0005-0000-0000-000002000000}"/>
    <cellStyle name="Currency" xfId="2" builtinId="4"/>
    <cellStyle name="Currency 2 2" xfId="14" xr:uid="{00000000-0005-0000-0000-000004000000}"/>
    <cellStyle name="Currency 9" xfId="8" xr:uid="{00000000-0005-0000-0000-000005000000}"/>
    <cellStyle name="Normal" xfId="0" builtinId="0"/>
    <cellStyle name="Normal 1 2" xfId="5" xr:uid="{00000000-0005-0000-0000-000007000000}"/>
    <cellStyle name="Normal 1 2 2" xfId="22" xr:uid="{00000000-0005-0000-0000-000008000000}"/>
    <cellStyle name="Normal 10" xfId="11" xr:uid="{00000000-0005-0000-0000-000009000000}"/>
    <cellStyle name="Normal 16" xfId="4" xr:uid="{00000000-0005-0000-0000-00000A000000}"/>
    <cellStyle name="Normal 16 2" xfId="21" xr:uid="{00000000-0005-0000-0000-00000B000000}"/>
    <cellStyle name="Normal 2" xfId="16" xr:uid="{00000000-0005-0000-0000-00000C000000}"/>
    <cellStyle name="Normal 2 2" xfId="17" xr:uid="{00000000-0005-0000-0000-00000D000000}"/>
    <cellStyle name="Normal 2 3" xfId="19" xr:uid="{00000000-0005-0000-0000-00000E000000}"/>
    <cellStyle name="Normal 2 3 2" xfId="23" xr:uid="{00000000-0005-0000-0000-00000F000000}"/>
    <cellStyle name="Normal 2 8" xfId="13" xr:uid="{00000000-0005-0000-0000-000010000000}"/>
    <cellStyle name="Normal 3 2" xfId="12" xr:uid="{00000000-0005-0000-0000-000011000000}"/>
    <cellStyle name="Normal 3 3" xfId="9" xr:uid="{00000000-0005-0000-0000-000012000000}"/>
    <cellStyle name="Normal 9" xfId="18" xr:uid="{00000000-0005-0000-0000-000013000000}"/>
    <cellStyle name="Percent" xfId="3" builtinId="5"/>
    <cellStyle name="Percent 10" xfId="6" xr:uid="{00000000-0005-0000-0000-000015000000}"/>
    <cellStyle name="Percent 12 2" xfId="20" xr:uid="{00000000-0005-0000-0000-000016000000}"/>
    <cellStyle name="Percent 2 2" xfId="15" xr:uid="{00000000-0005-0000-0000-000017000000}"/>
  </cellStyles>
  <dxfs count="1"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176209</xdr:colOff>
      <xdr:row>9</xdr:row>
      <xdr:rowOff>173282</xdr:rowOff>
    </xdr:from>
    <xdr:ext cx="914400" cy="904719"/>
    <xdr:pic>
      <xdr:nvPicPr>
        <xdr:cNvPr id="2" name="Picture 1" descr="AEE | Brands of the World™ | Download vector logos and logotypes">
          <a:extLst>
            <a:ext uri="{FF2B5EF4-FFF2-40B4-BE49-F238E27FC236}">
              <a16:creationId xmlns:a16="http://schemas.microsoft.com/office/drawing/2014/main" id="{3F8F8F4B-E569-4D85-BD59-FC98DDF1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09" y="1809850"/>
          <a:ext cx="914400" cy="904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171591</xdr:colOff>
      <xdr:row>3</xdr:row>
      <xdr:rowOff>116721</xdr:rowOff>
    </xdr:from>
    <xdr:ext cx="914400" cy="906259"/>
    <xdr:pic>
      <xdr:nvPicPr>
        <xdr:cNvPr id="3" name="Picture 2" descr="Home - Financial Oversight and Management Board for Puerto Rico">
          <a:extLst>
            <a:ext uri="{FF2B5EF4-FFF2-40B4-BE49-F238E27FC236}">
              <a16:creationId xmlns:a16="http://schemas.microsoft.com/office/drawing/2014/main" id="{DBBA7FA4-8060-4114-8D7C-55F59861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91" y="743784"/>
          <a:ext cx="914400" cy="906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217340</xdr:colOff>
      <xdr:row>15</xdr:row>
      <xdr:rowOff>84344</xdr:rowOff>
    </xdr:from>
    <xdr:ext cx="914400" cy="935915"/>
    <xdr:pic>
      <xdr:nvPicPr>
        <xdr:cNvPr id="4" name="Picture 3">
          <a:extLst>
            <a:ext uri="{FF2B5EF4-FFF2-40B4-BE49-F238E27FC236}">
              <a16:creationId xmlns:a16="http://schemas.microsoft.com/office/drawing/2014/main" id="{5F97AA4A-9C2D-4B80-8440-95458EFB34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093" t="3046" r="6914" b="7342"/>
        <a:stretch/>
      </xdr:blipFill>
      <xdr:spPr>
        <a:xfrm>
          <a:off x="217340" y="2837935"/>
          <a:ext cx="914400" cy="9359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I/BrianD/Warehouse%20Expense%20Report/Updated%20Network%20QTRLY%20Forecast%20Comparison%20FY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als/Puerto%20Rico/Analysis/FEGP/Creditor%20Model/Miscellaneous/Reserve%20Analysis/15.12.07%20Reserve%20Analysis%20v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Debt%20Models/GDB/Debt%20Summary/Project%20Renaissance%20-%20GDB%20Outstanding%20Debt%20Summary%20v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Liquidity/HTA/Waterfall%20Analysis/July%202015/15.05.22%20HTA%20&amp;%20PRIFA%20Waterfall%20Analysis%20v12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https://aeepr.sharepoint.com/sites/REGULATORYREPORTINGSHAREDDRIVE/Shared%20Documents/Department%20Activities%20&amp;%20Reporting/Revenue%20Activities/Revenue%20Reporting%20Requirements/FOMB%20Revenue%20Template/15.12.18%20Superbond%20Scenarios%20v2.xlsx?E7ACE239" TargetMode="External"/><Relationship Id="rId1" Type="http://schemas.openxmlformats.org/officeDocument/2006/relationships/externalLinkPath" Target="file:///\\E7ACE239\15.12.18%20Superbond%20Scenarios%20v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mendelsohn/AppData/Local/Microsoft/Windows/Temporary%20Internet%20Files/Content.Outlook/4SEOQH2Z/2016-01-19%20PREPA%20Recap%20Model%20v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_Archive\16.02.03%20FEGP%20Extended%20Model%20vDraft1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https://aeepr.sharepoint.com/sites/REGULATORYREPORTINGSHAREDDRIVE/Shared%20Documents/Department%20Activities%20&amp;%20Reporting/Revenue%20Activities/Revenue%20Reporting%20Requirements/FOMB%20Revenue%20Template/15.11.08%20FEGP%20Superbond%20Analysis%20v2.xlsx?E7ACE239" TargetMode="External"/><Relationship Id="rId1" Type="http://schemas.openxmlformats.org/officeDocument/2006/relationships/externalLinkPath" Target="file:///\\E7ACE239\15.11.08%20FEGP%20Superbond%20Analysis%20v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FEGP/15.09.15%20FEGP%20Model%20v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mendelsohn/AppData/Local/Microsoft/Windows/Temporary%20Internet%20Files/Content.Outlook/4SEOQH2Z/FEGP%20Extended%20Model%20vDraft_TRS%20Proj.%20Update_v.7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AA/AppData/Local/Microsoft/Windows/Temporary%20Internet%20Files/Content.Outlook/88W8Z6T4/15%2009%2018%20FEGP%20Creditor%20Model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pr-my.sharepoint.com/bchydro.adroot.bchydro.bc.ca/misc$/CC&amp;C/EP/EP/Forecast/2009%20Forecast/August%202009%20RRA%20Forecast%20and%20Tracking/CompAugust2009Dec2008_gc%20_v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illiam%20Fornia/Documents/Clients/Puerto%20Rico%20ERS/FiscalPlan/Puerto%20Rico/Pensions%20(16.08.31)/16.10.03%20Hend%20ERS%20TRS%20JRS%20Updat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16.03.14%20FEGP%20Extended%20Model%20vDraft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\Infrastructure\Infrastructure%201-5-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RANS/COMPS/Bloomberg/Infrastructure/Infrastructure%201-5-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%20v2\Laidlaw\5-13-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ESD/MUNI_S/P_RICO/HIGHWAYS/Debt/HTA%20Debt%20Databas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\BrianD\Warehouse%20Expense%20Report\Updated%20Network%20QTRLY%20Forecast%20Comparison%20FY%20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ROWDY/2010/CASHFLOW2010%20(Historic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SD\MUNI_S\P_RICO\HIGHWAYS\Debt\HTA%20Debt%20Databas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RAD/AppData/Local/Microsoft/Windows/INetCache/Content.Outlook/IQKIELG9/20170407_Cash%20Flow%202016-17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Norcoden/Data/JOBS/DFAS/estima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Budget%20Planning/FEGP%20GF%20Analysis/17_03_11%20FEGP%20GF%20Budget_v1%20(Roth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FEGP/FEGP%20September%20Update/161013%20FEGP%20PPT%20Schedules_v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ZARIFJ~1/AppData/Local/Temp/notes1A0263/FY18%20Liquidity%20Plan_17080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ocuments%20and%20Settings/hmelendez/My%20Documents/0111336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pr-my.sharepoint.com/Boulder-data/webdrive/Common/DSM/DSM%20Incentive%20Analysis/SUMMIT%20BLUE%2006-01-05/Lighting%20100s/Incentive%20analysis%20-%20ligh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Drives\BazzyB\Desktop\PR\Estado%20debt%20model%20(INTERNAL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weinbergl\AppData\Local\Microsoft\Windows\Temporary%20Internet%20Files\Content.Outlook\H0GBOCL0\614219_3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/My%20Documents/EXCEL/Asset%20Management/Constellation/Rio%20Nogales/Production%20Cost%20Estimates_11-0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AGAVE/FYE%20DEC%202010%20(Historical%20Cash%20Flows)/HISTCSHF2010-12%20Preliminar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tstiles\AppData\Local\Microsoft\Windows\Temporary%20Internet%20Files\Content.Outlook\R0DLWUM7\16_02_18%20NPV%20Spreadsheet%20-%20v2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wpr-my.sharepoint.com/Users/cfcernuda/Library/Group%20Containers/UBF8T346G9.Office/User%20Content.localized/Startup.localized/Excel/doug/P.XLS" TargetMode="External"/></Relationships>
</file>

<file path=xl/externalLinks/_rels/externalLink4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ltonLatoni\AppData\Local\Microsoft\Windows\INetCache\Content.Outlook\CG0HX4NX\PREPA%20B2A%20January%202023%20v7.xlsx" TargetMode="External"/><Relationship Id="rId1" Type="http://schemas.openxmlformats.org/officeDocument/2006/relationships/externalLinkPath" Target="file:///C:\Users\MiltonLatoni\AppData\Local\Microsoft\Windows\INetCache\Content.Outlook\CG0HX4NX\PREPA%20B2A%20January%202023%20v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efficiencyalberta.sharepoint.com/CUSTSERV/PFLR/EXCEL/2010fcst/POWER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Jobs\1996\960027\PROPOSAL\LANS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ia.gov/forecasts/steo/xls/Quarterly-tables%20Curr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ineering\ProForma\2010%20Archive\South%20Area%20ProFormas\Board%20Meeting%20JL10\Current\engineering\ProForma\2009%20Archive\Aug\2009%20Archive\Jan\2009JA21%20By-pass%20Analysis%20-%20Pecos%20Diamond%20Proforma%20DD%20Inser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stiles/AppData/Local/Microsoft/Windows/Temporary%20Internet%20Files/Content.Outlook/R0DLWUM7/16.01.21%20FEGP%20Extended%20Model%20vDraft7_9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erve Analysis&gt;"/>
      <sheetName val="Trustee Transfers"/>
      <sheetName val="Reserve Analysis"/>
      <sheetName val="Clawback"/>
      <sheetName val="Reserves"/>
      <sheetName val="HTA Reserves&gt;"/>
      <sheetName val="DSRA Summary"/>
      <sheetName val="DSRA Statements"/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Stx"/>
      <sheetName val="Bonds by Series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I Projections"/>
      <sheetName val="Annual - Detail"/>
      <sheetName val="Monthly - Detail"/>
      <sheetName val="Summary"/>
      <sheetName val="MillCo Flex"/>
      <sheetName val="Model"/>
      <sheetName val="Millstein Disclaimer"/>
      <sheetName val="HTA Drivers"/>
      <sheetName val="HTA Waterfall - Annual"/>
      <sheetName val="HTA Waterfall - Monthly"/>
      <sheetName val="Transferred PRIFA Funds"/>
      <sheetName val="PRIFA Waterfall"/>
      <sheetName val="Outputs"/>
      <sheetName val="PRIFA Waterfall_output"/>
      <sheetName val="Barrel Summary"/>
      <sheetName val="PRIFA Rev Build"/>
      <sheetName val="CY Revenues"/>
      <sheetName val="FY Revenu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ay&gt;"/>
      <sheetName val="Base and Growth PVs"/>
      <sheetName val="Sc 1"/>
      <sheetName val="Scen 1 PV"/>
      <sheetName val="Scen 1 DS"/>
      <sheetName val="Scen 1 DS2"/>
      <sheetName val="Scen 2 w meas"/>
      <sheetName val="Scen 2 meas PV"/>
      <sheetName val="Scen 2 meas DS"/>
      <sheetName val="Scen 2 D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odel=&gt;"/>
      <sheetName val="Input - Drivers"/>
      <sheetName val="Input - Securitization Balances"/>
      <sheetName val="Input - Surety"/>
      <sheetName val="Input - DSRF Refunding Calc."/>
      <sheetName val="Input - Tender Pricing"/>
      <sheetName val="Input - Fwd Refinancing"/>
      <sheetName val="Series 2015A Schedule"/>
      <sheetName val="Bank Holidays"/>
      <sheetName val="Model - Status Quo"/>
      <sheetName val="Model - Securitzation LIVE"/>
      <sheetName val="Output=&gt;"/>
      <sheetName val="Jan Jul"/>
      <sheetName val="Deal Debt Service (NG, GS)"/>
      <sheetName val="Deal Princ. Balance (NG, GS)"/>
      <sheetName val="FEGP Monthly Projs."/>
      <sheetName val="Issue Test (P+I)"/>
      <sheetName val="Issue Test"/>
      <sheetName val="Issue Test Output"/>
      <sheetName val="Monoline Debt Service"/>
      <sheetName val="Debt Service Summary "/>
      <sheetName val="Debt Serv. Chart"/>
      <sheetName val="Cost per kWh for Debt Service"/>
      <sheetName val="Rate Build - Securitzation"/>
      <sheetName val="A&amp;M Debt Service"/>
      <sheetName val="Syncora Analysis =&gt;"/>
      <sheetName val="Syncora Debt Service"/>
      <sheetName val="Syncora Deal Analysis"/>
      <sheetName val="To Review&gt;"/>
      <sheetName val="DS Status Quo by Group"/>
      <sheetName val="DS Pro Forma by Group"/>
      <sheetName val="DS Savings by Group"/>
      <sheetName val="Stale&gt;"/>
      <sheetName val="Securitization Detail"/>
      <sheetName val="Surety Benefit"/>
      <sheetName val="Jan Bond Interest Due"/>
      <sheetName val="Surety Summary"/>
      <sheetName val="Issuance Market Risk"/>
      <sheetName val="S&amp;P Term Sheet"/>
      <sheetName val="Jan Sources &amp; Uses"/>
      <sheetName val="Jan 1 Detail"/>
      <sheetName val="July Maturities Summary"/>
      <sheetName val="Assured Jan Breakout"/>
      <sheetName val="DSRF DSCR Summary"/>
      <sheetName val="DSRF Refunding"/>
      <sheetName val="Monoline Risk Reduction"/>
      <sheetName val="Insured Debt Refinancing"/>
      <sheetName val="Wtd Avg Life"/>
      <sheetName val="Pro Forma"/>
      <sheetName val="Market Risk"/>
      <sheetName val="Mono Debt Service &amp; Balances"/>
      <sheetName val="Potential Liquidity Needs"/>
      <sheetName val="5 Year Impact"/>
      <sheetName val="Rate Comparison"/>
      <sheetName val="Graveyard&gt;"/>
      <sheetName val="Mirror Bond Detail"/>
      <sheetName val="Mirror Bond Cusips"/>
      <sheetName val="Rate Build - Status Quo"/>
      <sheetName val="Cash Flow Output"/>
      <sheetName val="Exposure Output"/>
      <sheetName val="Sources and Uses"/>
      <sheetName val="NT Liquidity Impact"/>
      <sheetName val="Change in Exposure"/>
      <sheetName val="Proposal Debt Service by Mono."/>
      <sheetName val="Cash Flow Impact"/>
      <sheetName val="Summary of Debt Balances"/>
      <sheetName val="Surety Sensitivity"/>
      <sheetName val="Bonds 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ti Outputs&gt;"/>
      <sheetName val="9LevelP&amp;I"/>
      <sheetName val="Prior Debt Serv."/>
      <sheetName val="Exchange Outputs&gt;"/>
      <sheetName val="CVR Based on Citi Run"/>
      <sheetName val="Ten Year Gaps"/>
      <sheetName val="Graphs"/>
      <sheetName val="CVR Payments"/>
      <sheetName val="FY16 DS Addback"/>
      <sheetName val="ABT"/>
      <sheetName val="FEGP Output Graph"/>
      <sheetName val="NewCo CFs"/>
      <sheetName val="Sheet1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 Reconciliation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ERS"/>
      <sheetName val="Projection_TRS"/>
      <sheetName val="Graveyard&gt;"/>
      <sheetName val="AUCs"/>
      <sheetName val="Jim"/>
      <sheetName val="Citi_Outputs&gt;"/>
      <sheetName val="Prior_Debt_Serv_"/>
      <sheetName val="Exchange_Outputs&gt;"/>
      <sheetName val="CVR_Based_on_Citi_Run"/>
      <sheetName val="Ten_Year_Gaps"/>
      <sheetName val="CVR_Payments"/>
      <sheetName val="FY16_DS_Addback"/>
      <sheetName val="FEGP_Output_Graph"/>
      <sheetName val="NewCo_CFs"/>
      <sheetName val="Key_Driver_Assumptions"/>
      <sheetName val="Model_Outputs&gt;"/>
      <sheetName val="Debt_Service_Summary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Measures_Reconciliation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Original_Sum&gt;"/>
      <sheetName val="Public_Summary"/>
      <sheetName val="Accreted_Par"/>
      <sheetName val="UPR_10_YR_FAP_REV_ONLY"/>
      <sheetName val="Law_154"/>
      <sheetName val="PRCCDA_CFs_Mgmt"/>
      <sheetName val="PRIDCO_CFs_Mgmt"/>
      <sheetName val="HTA_CFs_FTI"/>
      <sheetName val="Citi_Outputs&gt;1"/>
      <sheetName val="Prior_Debt_Serv_1"/>
      <sheetName val="Exchange_Outputs&gt;1"/>
      <sheetName val="CVR_Based_on_Citi_Run1"/>
      <sheetName val="Ten_Year_Gaps1"/>
      <sheetName val="CVR_Payments1"/>
      <sheetName val="FY16_DS_Addback1"/>
      <sheetName val="FEGP_Output_Graph1"/>
      <sheetName val="NewCo_CFs1"/>
      <sheetName val="Key_Driver_Assumptions1"/>
      <sheetName val="Model_Outputs&gt;1"/>
      <sheetName val="Debt_Service_Summary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Measures_Reconciliation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Original_Sum&gt;1"/>
      <sheetName val="Public_Summary1"/>
      <sheetName val="Accreted_Par1"/>
      <sheetName val="UPR_10_YR_FAP_REV_ONLY1"/>
      <sheetName val="Law_1541"/>
      <sheetName val="PRCCDA_CFs_Mgmt1"/>
      <sheetName val="PRIDCO_CFs_Mgmt1"/>
      <sheetName val="HTA_CFs_FTI1"/>
    </sheetNames>
    <sheetDataSet>
      <sheetData sheetId="0"/>
      <sheetData sheetId="1">
        <row r="17">
          <cell r="E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4">
          <cell r="D34">
            <v>1642.636607184493</v>
          </cell>
        </row>
      </sheetData>
      <sheetData sheetId="9"/>
      <sheetData sheetId="10"/>
      <sheetData sheetId="11"/>
      <sheetData sheetId="12"/>
      <sheetData sheetId="13"/>
      <sheetData sheetId="14">
        <row r="9">
          <cell r="E9">
            <v>2</v>
          </cell>
        </row>
      </sheetData>
      <sheetData sheetId="15"/>
      <sheetData sheetId="16"/>
      <sheetData sheetId="17">
        <row r="41">
          <cell r="D41">
            <v>0</v>
          </cell>
        </row>
      </sheetData>
      <sheetData sheetId="18"/>
      <sheetData sheetId="19">
        <row r="67">
          <cell r="BW67">
            <v>5.6084479599999995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0">
          <cell r="K10">
            <v>139.60225582719457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34">
          <cell r="D34">
            <v>1642.636607184493</v>
          </cell>
        </row>
      </sheetData>
      <sheetData sheetId="83"/>
      <sheetData sheetId="84"/>
      <sheetData sheetId="85">
        <row r="9">
          <cell r="E9">
            <v>2</v>
          </cell>
        </row>
      </sheetData>
      <sheetData sheetId="86"/>
      <sheetData sheetId="87">
        <row r="67">
          <cell r="BW67">
            <v>5.6084479599999995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>
        <row r="34">
          <cell r="D34">
            <v>1642.636607184493</v>
          </cell>
        </row>
      </sheetData>
      <sheetData sheetId="125"/>
      <sheetData sheetId="126"/>
      <sheetData sheetId="127">
        <row r="9">
          <cell r="E9">
            <v>2</v>
          </cell>
        </row>
      </sheetData>
      <sheetData sheetId="128"/>
      <sheetData sheetId="129">
        <row r="67">
          <cell r="BW67">
            <v>5.6084479599999995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age"/>
      <sheetName val="HTA Build"/>
      <sheetName val="Mkt Price"/>
      <sheetName val="Hybrid"/>
      <sheetName val="Outputs&gt;"/>
      <sheetName val="Evals"/>
      <sheetName val="Savings"/>
      <sheetName val="Graphs"/>
      <sheetName val="Cover"/>
      <sheetName val="Disclaimer"/>
      <sheetName val="Key Driver Assumptions"/>
      <sheetName val="Model Outputs&gt;"/>
      <sheetName val="Clean Revenue"/>
      <sheetName val="UPR FAP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  <sheetName val="Outstanding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H2">
            <v>2016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GP Outputs&gt;"/>
      <sheetName val="Sum 1"/>
      <sheetName val="Sum 2"/>
      <sheetName val="Sum 3"/>
      <sheetName val="Initiatives"/>
      <sheetName val="Cover"/>
      <sheetName val="Millstein Disclaimer"/>
      <sheetName val="TOC"/>
      <sheetName val="Assumptions&gt;"/>
      <sheetName val="Key Driver Assumptions"/>
      <sheetName val="Open Issues"/>
      <sheetName val="Model Outputs&gt;"/>
      <sheetName val="Summary"/>
      <sheetName val="Footnotes"/>
      <sheetName val="Debt Service Summary"/>
      <sheetName val="Bridges&gt;"/>
      <sheetName val="Revised Bridge to Krueger"/>
      <sheetName val="Bridge to vFinal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omp Units Check"/>
      <sheetName val="CapEx"/>
      <sheetName val="Fed Programs"/>
      <sheetName val="Retirement"/>
      <sheetName val="Projection_ERS"/>
      <sheetName val="Projection_TRS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CTF CFs"/>
      <sheetName val="UPR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ASA"/>
      <sheetName val="PREPA"/>
      <sheetName val="PRIFA"/>
      <sheetName val="UPR"/>
      <sheetName val="PFC"/>
      <sheetName val="PRCCDA"/>
      <sheetName val="PRIDCO"/>
      <sheetName val="CTF"/>
      <sheetName val="ERS"/>
      <sheetName val="GSA"/>
      <sheetName val="COFINA Timing Support"/>
      <sheetName val="Appendix - Krueger Tables&gt;"/>
      <sheetName val="RST1"/>
      <sheetName val="RST2"/>
      <sheetName val="RST3"/>
      <sheetName val="Consolidated Govt MT"/>
      <sheetName val="DSA 2013-25 meas sep"/>
      <sheetName val="Appendix - V2A&gt;"/>
      <sheetName val="Appendix - Law 154&gt;"/>
      <sheetName val="Law 154"/>
      <sheetName val="Appendix - PRIDCO and CCDA&gt;"/>
      <sheetName val="PRIDCO CFs"/>
      <sheetName val="PRCCDA CFs"/>
      <sheetName val="Appendix - FTI&gt;"/>
      <sheetName val="HTA CFs_FTI"/>
      <sheetName val="Appendix - GF Revenue&gt;"/>
      <sheetName val="FY2016"/>
      <sheetName val="JunioYTD_2014-15"/>
      <sheetName val="Graveyard&gt;"/>
      <sheetName val="Old GAP Bridge"/>
      <sheetName val="Old Bridge to Krueger"/>
      <sheetName val="GDB Princip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1">
          <cell r="E31" t="str">
            <v>Base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PBA"/>
      <sheetName val="GDB"/>
      <sheetName val="HT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rowth Bond Latest&gt;"/>
      <sheetName val="Vertical"/>
      <sheetName val="CVR Based on Citi Run"/>
      <sheetName val="GB Model - Latest"/>
      <sheetName val="Graph"/>
      <sheetName val="GO Proposal"/>
      <sheetName val="85.85.70 Sum2"/>
      <sheetName val="85.85.70 DS2"/>
      <sheetName val="Growth Bond Prior&gt;"/>
      <sheetName val="GB Model"/>
      <sheetName val="GB Output"/>
      <sheetName val="85.85.70 w PIK Sum"/>
      <sheetName val="85.85.70 w PIK DS"/>
      <sheetName val="SUT Modelling&gt;"/>
      <sheetName val="SUTVAT w PF DS"/>
      <sheetName val="SUTVAT"/>
      <sheetName val="Sheet1"/>
      <sheetName val="5Yr SUT_B2BGrowth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ERS Rebuild_Active"/>
      <sheetName val="AUCs"/>
      <sheetName val="Payroll"/>
      <sheetName val="Original Sum&gt;"/>
      <sheetName val="Public Summary"/>
      <sheetName val="Debt OS&gt;"/>
      <sheetName val="Debt OS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PFC Payments"/>
      <sheetName val="Subsidies"/>
      <sheetName val="Incr. BB"/>
      <sheetName val="CN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Retirement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GF Revenue FY2016"/>
      <sheetName val="HTA CFs_FTI"/>
      <sheetName val="Projection_ERS"/>
      <sheetName val="Projection_TRS"/>
    </sheetNames>
    <sheetDataSet>
      <sheetData sheetId="0" refreshError="1"/>
      <sheetData sheetId="1" refreshError="1"/>
      <sheetData sheetId="2">
        <row r="16">
          <cell r="I16">
            <v>0.02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>
        <row r="13">
          <cell r="L1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67">
          <cell r="K67">
            <v>1110.547619047619</v>
          </cell>
        </row>
      </sheetData>
      <sheetData sheetId="16" refreshError="1"/>
      <sheetData sheetId="17" refreshError="1"/>
      <sheetData sheetId="18">
        <row r="113">
          <cell r="M113">
            <v>150.42103849976388</v>
          </cell>
        </row>
      </sheetData>
      <sheetData sheetId="19" refreshError="1"/>
      <sheetData sheetId="20" refreshError="1"/>
      <sheetData sheetId="21">
        <row r="23">
          <cell r="I23">
            <v>-78.120531999999997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ial dist tracking April"/>
      <sheetName val="Notes "/>
      <sheetName val="Commercial dist tracking hybrid"/>
      <sheetName val="july 2009"/>
      <sheetName val="Industrial dist tracking"/>
      <sheetName val="Transmission tracking"/>
      <sheetName val="August 2009"/>
      <sheetName val="Residential tracking"/>
      <sheetName val="Rate Impact Calculator NON RES"/>
      <sheetName val="RATES"/>
      <sheetName val="Rate Impact Calculator Res"/>
      <sheetName val="RGTBeforeDSMBeforeRates"/>
      <sheetName val="RCIBeforeDSMWithRates"/>
      <sheetName val="RCIBeforeDSMBeforeRates"/>
      <sheetName val="RCIWithDSMWithRates"/>
      <sheetName val="RGTBeforeDSMWithRates"/>
      <sheetName val="RGTWithDSMWithRates"/>
      <sheetName val="VAR REPORT 2008"/>
      <sheetName val="Dec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 t="str">
            <v>MAY 2009 UPDATE OF DEC 2008 REFERENCE FORECAST - PROBABLE - BEFORE RATE IMPACTS BEFORE MAY 2009 POWER SMART PROGRAMS APPLIED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>
        <row r="61">
          <cell r="A61" t="str">
            <v>DECEMBER 2008 FORECAST - PROBABLE - WITH RATE IMPACTS BEFORE DEC 2008 POWER SMART PROGRAMS APPLIED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idge Items&gt;"/>
      <sheetName val="Detailed Bridge"/>
      <sheetName val="GF Budget Summary Variance"/>
      <sheetName val="GF Rev 2017 Variance"/>
      <sheetName val="Expense Variance"/>
      <sheetName val="Deposits Variance"/>
      <sheetName val="Detailed Bridge from FEGP 2"/>
      <sheetName val="Cover"/>
      <sheetName val="Key Driver Assumptions"/>
      <sheetName val="Disclaimer"/>
      <sheetName val="Model Outputs&gt;"/>
      <sheetName val="Summary by Source"/>
      <sheetName val="Summary"/>
      <sheetName val="Debt Service Summary"/>
      <sheetName val="Footnotes"/>
      <sheetName val="Measures Detail"/>
      <sheetName val="Revenues&gt;"/>
      <sheetName val="GF Revenue"/>
      <sheetName val="GDB Portfolio"/>
      <sheetName val="SUT VAT Build"/>
      <sheetName val="Federal Transfers"/>
      <sheetName val="Cigarettes"/>
      <sheetName val="Expenditures&gt;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Tourism CFs"/>
      <sheetName val="UPR CFs"/>
      <sheetName val="PBA CFs"/>
      <sheetName val="HTA CFs"/>
      <sheetName val="HTA CFs_Mgmt"/>
      <sheetName val="HTA_Freyre Projections"/>
      <sheetName val="Freyre Projections"/>
      <sheetName val="FY Revenues (Old Freyre)"/>
      <sheetName val="CY Revenues (Old Freyre)"/>
      <sheetName val="Petroleum Forecast&gt;"/>
      <sheetName val="PET BANs Schedule"/>
      <sheetName val="Cusip Debt Schedules&gt;"/>
      <sheetName val="COFINA"/>
      <sheetName val="GO"/>
      <sheetName val="GDB"/>
      <sheetName val="PBA"/>
      <sheetName val="PRIFA"/>
      <sheetName val="UPR"/>
      <sheetName val="PFC"/>
      <sheetName val="PRCCDA"/>
      <sheetName val="PRIDCO"/>
      <sheetName val="HTA"/>
      <sheetName val="ERS"/>
      <sheetName val="GSA"/>
      <sheetName val="COFINA Timing Support"/>
      <sheetName val="GO Notes"/>
      <sheetName val="Non-FEGP DS =&gt;"/>
      <sheetName val="APLA-POA"/>
      <sheetName val="PRASA"/>
      <sheetName val="MFA"/>
      <sheetName val="HFA"/>
      <sheetName val="CIQ_LinkingNames"/>
      <sheetName val="CTF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Split"/>
      <sheetName val="CONWAY"/>
      <sheetName val="NEW"/>
      <sheetName val="GF Budget"/>
      <sheetName val="ERS Rebuild_Active"/>
      <sheetName val="AUCs"/>
      <sheetName val="Payroll"/>
      <sheetName val="Retirement"/>
      <sheetName val="JRS Projections"/>
      <sheetName val="Projection_TRS NEW"/>
      <sheetName val="Original Sum&gt;"/>
      <sheetName val="Public Summary"/>
      <sheetName val="Appendix&gt;"/>
      <sheetName val="5Yr SUT_B2BGrowth"/>
      <sheetName val="Law 154"/>
      <sheetName val="PRCCDA CFs_Mgmt"/>
      <sheetName val="PRIDCO CFs_Mgmt NEW"/>
      <sheetName val="PRIDCO CFs_Mgmt OLD"/>
      <sheetName val="ERS Model Reconciliation"/>
      <sheetName val="Other Analyses=&gt;&gt;"/>
      <sheetName val="General Fund"/>
      <sheetName val="Projection Detail"/>
      <sheetName val="PBA Resolutions"/>
      <sheetName val="Jan 2017&gt;"/>
      <sheetName val="Jan 2017"/>
      <sheetName val="Jan 2017 Detail"/>
      <sheetName val="Jan 2017 Balance"/>
      <sheetName val="DS Amortization"/>
      <sheetName val="Intro Material"/>
      <sheetName val="PRIFA Amortization"/>
      <sheetName val="Jan 2017 FEGP Debt"/>
      <sheetName val="MPPD Analysis =&gt;"/>
      <sheetName val="CB &amp; MPPD Dist. Summary"/>
      <sheetName val="CB &amp; MPPD Dist. Analysis"/>
      <sheetName val="MPPD Backup&gt;"/>
      <sheetName val="July 1 GO DS"/>
      <sheetName val="PBA July 1 Backup"/>
      <sheetName val="GDB 2013B-1"/>
      <sheetName val="GO Cusip Backup"/>
      <sheetName val="Graveyard =&gt;"/>
      <sheetName val="HTA CFs_FTI"/>
      <sheetName val="PRASA DS"/>
      <sheetName val="SUT VAT Build (Old)"/>
      <sheetName val="Projection_TRS OLD"/>
      <sheetName val="UPR 10 YR FAP REV ONLY OLD"/>
      <sheetName val="Gov Presentation-&gt;"/>
      <sheetName val="Bridge from 6-19 Offer"/>
      <sheetName val="GF Budget Expense Variance"/>
      <sheetName val="Revenue Variance"/>
      <sheetName val="GF Rev Variance"/>
      <sheetName val="HTA PRIFA Roll"/>
      <sheetName val="Gap Table"/>
      <sheetName val="Adjusted Revenues"/>
      <sheetName val="Exchange Cash Flows"/>
      <sheetName val="DS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cal Sum2"/>
      <sheetName val="No Local DS2"/>
      <sheetName val="No Local CAB &amp; CVR"/>
      <sheetName val="CAB No Local"/>
      <sheetName val="CVR No Local"/>
      <sheetName val="Orig Proposal&gt;"/>
      <sheetName val="Proposal DS"/>
      <sheetName val="Proposal CVR"/>
      <sheetName val="Support XO Analysis&gt;"/>
      <sheetName val="FY16 DS Addback"/>
      <sheetName val="ABT"/>
      <sheetName val="Proposals&gt;"/>
      <sheetName val="Balances"/>
      <sheetName val="Proposals"/>
      <sheetName val="Haircut + Rates"/>
      <sheetName val="Reconciliations&gt;"/>
      <sheetName val="Budget w Measures"/>
      <sheetName val="Expense Measures"/>
      <sheetName val="CM CU Bacukp"/>
      <sheetName val="General Fund"/>
      <sheetName val="Milliman Analysis&gt;"/>
      <sheetName val="Original AUC"/>
      <sheetName val="Updated AUC"/>
      <sheetName val="Choose AUC"/>
      <sheetName val="Projection_ERS"/>
      <sheetName val="AUC Liq. Adj."/>
      <sheetName val="Liquidity Adj."/>
      <sheetName val="Asset Roll - Milliman"/>
      <sheetName val="Asset Roll - Active Letter"/>
      <sheetName val="Asset Roll - Hybrid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Payroll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NewCo CFs&gt;"/>
      <sheetName val="NewCo"/>
      <sheetName val="NewCo CFs2"/>
      <sheetName val="Original Sum&gt;"/>
      <sheetName val="Public Summary"/>
      <sheetName val="Accretion&gt;"/>
      <sheetName val="Bridge"/>
      <sheetName val="Big and Little 9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AUCs"/>
      <sheetName val="Jim"/>
      <sheetName val="MB"/>
      <sheetName val="Bridge City"/>
      <sheetName val="Subsidies"/>
      <sheetName val="Adjusted Revenue"/>
      <sheetName val="IMF"/>
      <sheetName val="Buckfire Data&gt;"/>
      <sheetName val="Zero Growth_Data"/>
      <sheetName val="FEGP Base_Data"/>
      <sheetName val="FEGP High_Data"/>
      <sheetName val="GO Moratorium_simple"/>
      <sheetName val="Adj. Rev"/>
      <sheetName val="Measures Var"/>
      <sheetName val="Treas Graphs"/>
      <sheetName val="BB Capacity"/>
      <sheetName val="CVR Payments"/>
      <sheetName val="Ten Year Gaps"/>
      <sheetName val="Incr. BB"/>
      <sheetName val="Analysis"/>
      <sheetName val="No_Local_Sum2"/>
      <sheetName val="No_Local_DS2"/>
      <sheetName val="No_Local_CAB_&amp;_CVR"/>
      <sheetName val="CAB_No_Local"/>
      <sheetName val="CVR_No_Local"/>
      <sheetName val="Orig_Proposal&gt;"/>
      <sheetName val="Proposal_DS"/>
      <sheetName val="Proposal_CVR"/>
      <sheetName val="Support_XO_Analysis&gt;"/>
      <sheetName val="FY16_DS_Addback"/>
      <sheetName val="Haircut_+_Rates"/>
      <sheetName val="Budget_w_Measures"/>
      <sheetName val="Expense_Measures"/>
      <sheetName val="CM_CU_Bacukp"/>
      <sheetName val="General_Fund"/>
      <sheetName val="Milliman_Analysis&gt;"/>
      <sheetName val="Original_AUC"/>
      <sheetName val="Updated_AUC"/>
      <sheetName val="Choose_AUC"/>
      <sheetName val="AUC_Liq__Adj_"/>
      <sheetName val="Liquidity_Adj_"/>
      <sheetName val="Asset_Roll_-_Milliman"/>
      <sheetName val="Asset_Roll_-_Active_Letter"/>
      <sheetName val="Asset_Roll_-_Hybrid"/>
      <sheetName val="Key_Driver_Assumptions"/>
      <sheetName val="Model_Outputs&gt;"/>
      <sheetName val="Debt_Service_Summary"/>
      <sheetName val="Measures_Detail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NewCo_CFs&gt;"/>
      <sheetName val="NewCo_CFs2"/>
      <sheetName val="Original_Sum&gt;"/>
      <sheetName val="Public_Summary"/>
      <sheetName val="Big_and_Little_9"/>
      <sheetName val="Accreted_Par"/>
      <sheetName val="UPR_10_YR_FAP_REV_ONLY"/>
      <sheetName val="Law_154"/>
      <sheetName val="PRCCDA_CFs_Mgmt"/>
      <sheetName val="PRIDCO_CFs_Mgmt"/>
      <sheetName val="HTA_CFs_FTI"/>
      <sheetName val="ERS_Model_Reconciliation"/>
      <sheetName val="Bridge_City"/>
      <sheetName val="Adjusted_Revenue"/>
      <sheetName val="Buckfire_Data&gt;"/>
      <sheetName val="Zero_Growth_Data"/>
      <sheetName val="FEGP_Base_Data"/>
      <sheetName val="FEGP_High_Data"/>
      <sheetName val="GO_Moratorium_simple"/>
      <sheetName val="Adj__Rev"/>
      <sheetName val="Measures_Var"/>
      <sheetName val="Treas_Graphs"/>
      <sheetName val="BB_Capacity"/>
      <sheetName val="CVR_Payments"/>
      <sheetName val="Ten_Year_Gaps"/>
      <sheetName val="Incr__BB"/>
      <sheetName val="No_Local_Sum21"/>
      <sheetName val="No_Local_DS21"/>
      <sheetName val="No_Local_CAB_&amp;_CVR1"/>
      <sheetName val="CAB_No_Local1"/>
      <sheetName val="CVR_No_Local1"/>
      <sheetName val="Orig_Proposal&gt;1"/>
      <sheetName val="Proposal_DS1"/>
      <sheetName val="Proposal_CVR1"/>
      <sheetName val="Support_XO_Analysis&gt;1"/>
      <sheetName val="FY16_DS_Addback1"/>
      <sheetName val="Haircut_+_Rates1"/>
      <sheetName val="Budget_w_Measures1"/>
      <sheetName val="Expense_Measures1"/>
      <sheetName val="CM_CU_Bacukp1"/>
      <sheetName val="General_Fund1"/>
      <sheetName val="Milliman_Analysis&gt;1"/>
      <sheetName val="Original_AUC1"/>
      <sheetName val="Updated_AUC1"/>
      <sheetName val="Choose_AUC1"/>
      <sheetName val="AUC_Liq__Adj_1"/>
      <sheetName val="Liquidity_Adj_1"/>
      <sheetName val="Asset_Roll_-_Milliman1"/>
      <sheetName val="Asset_Roll_-_Active_Letter1"/>
      <sheetName val="Asset_Roll_-_Hybrid1"/>
      <sheetName val="Key_Driver_Assumptions1"/>
      <sheetName val="Model_Outputs&gt;1"/>
      <sheetName val="Debt_Service_Summary1"/>
      <sheetName val="Measures_Detail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NewCo_CFs&gt;1"/>
      <sheetName val="NewCo_CFs21"/>
      <sheetName val="Original_Sum&gt;1"/>
      <sheetName val="Public_Summary1"/>
      <sheetName val="Big_and_Little_91"/>
      <sheetName val="Accreted_Par1"/>
      <sheetName val="UPR_10_YR_FAP_REV_ONLY1"/>
      <sheetName val="Law_1541"/>
      <sheetName val="PRCCDA_CFs_Mgmt1"/>
      <sheetName val="PRIDCO_CFs_Mgmt1"/>
      <sheetName val="HTA_CFs_FTI1"/>
      <sheetName val="ERS_Model_Reconciliation1"/>
      <sheetName val="Bridge_City1"/>
      <sheetName val="Adjusted_Revenue1"/>
      <sheetName val="Buckfire_Data&gt;1"/>
      <sheetName val="Zero_Growth_Data1"/>
      <sheetName val="FEGP_Base_Data1"/>
      <sheetName val="FEGP_High_Data1"/>
      <sheetName val="GO_Moratorium_simple1"/>
      <sheetName val="Adj__Rev1"/>
      <sheetName val="Measures_Var1"/>
      <sheetName val="Treas_Graphs1"/>
      <sheetName val="BB_Capacity1"/>
      <sheetName val="CVR_Payments1"/>
      <sheetName val="Ten_Year_Gaps1"/>
      <sheetName val="Incr__BB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8">
          <cell r="J18">
            <v>1.0098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>
        <row r="18">
          <cell r="J18">
            <v>1.0098</v>
          </cell>
        </row>
      </sheetData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>
        <row r="18">
          <cell r="J18">
            <v>1.0098</v>
          </cell>
        </row>
      </sheetData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  <sheetName val="Trad_Stats1"/>
      <sheetName val="Credit_Stats1"/>
      <sheetName val="Price_Performance1"/>
      <sheetName val="Financial_Summary1"/>
      <sheetName val="Backup_data1"/>
      <sheetName val="Millstein_Outpu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Stats"/>
      <sheetName val="Price Performance"/>
      <sheetName val="Trad Stats"/>
      <sheetName val="Sheet1"/>
      <sheetName val="Download Sheet"/>
      <sheetName val="Backup data"/>
      <sheetName val="SAP P&amp;Ls (PC, Dry &amp; Unall)"/>
      <sheetName val="Credit_Stats"/>
      <sheetName val="Price_Performance"/>
      <sheetName val="Trad_Stats"/>
      <sheetName val="Download_Sheet"/>
      <sheetName val="Backup_data"/>
      <sheetName val="SAP_P&amp;Ls_(PC,_Dry_&amp;_Unall)"/>
      <sheetName val="Credit_Stats1"/>
      <sheetName val="Price_Performance1"/>
      <sheetName val="Trad_Stats1"/>
      <sheetName val="Download_Sheet1"/>
      <sheetName val="Backup_data1"/>
      <sheetName val="SAP_P&amp;Ls_(PC,_Dry_&amp;_Unall)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1993X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  <sheetName val="Facility_Qtrs"/>
      <sheetName val="Month_8"/>
      <sheetName val="Month_9"/>
      <sheetName val="Month_10"/>
      <sheetName val="Month_11"/>
      <sheetName val="Month_1"/>
      <sheetName val="Facility_Qtrs1"/>
      <sheetName val="Month_81"/>
      <sheetName val="Month_91"/>
      <sheetName val="Month_101"/>
      <sheetName val="Month_111"/>
      <sheetName val="Month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reclass"/>
      <sheetName val="suzannes"/>
      <sheetName val="holli's entry"/>
      <sheetName val="Transfer 1209"/>
      <sheetName val="0110"/>
      <sheetName val="0210"/>
      <sheetName val="0310"/>
      <sheetName val="0410"/>
      <sheetName val="0510"/>
      <sheetName val="0610"/>
      <sheetName val="0710"/>
      <sheetName val="0810"/>
      <sheetName val="0910"/>
      <sheetName val="1010"/>
      <sheetName val="390"/>
      <sheetName val="560"/>
      <sheetName val="590"/>
      <sheetName val="960"/>
      <sheetName val="110"/>
      <sheetName val="210"/>
      <sheetName val="100"/>
      <sheetName val="Pivot"/>
      <sheetName val="RPL DETAIL"/>
      <sheetName val="GEN MAXIMUMS"/>
      <sheetName val="2008 Environmental"/>
      <sheetName val="2009 Environmental"/>
      <sheetName val="2010 Environmental"/>
      <sheetName val="2011 Environmental"/>
      <sheetName val="2012 Environmental"/>
      <sheetName val="2008 Necessity"/>
      <sheetName val="2009 Necessity"/>
      <sheetName val="2010 Necessity"/>
      <sheetName val="2011 Necessity"/>
      <sheetName val="2012 Necessity"/>
      <sheetName val="_ADFDI_LOV"/>
      <sheetName val="PD Fixed Proforma"/>
      <sheetName val="Details 1"/>
      <sheetName val="Details 2"/>
      <sheetName val="Details 3"/>
      <sheetName val="Bal Sheet"/>
      <sheetName val="All Projects Less Contributions"/>
      <sheetName val="Trans"/>
      <sheetName val="YTD 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  <sheetName val="Existing_Debt_Service_by_Reso1"/>
      <sheetName val="Existing_Debt_Service_by_Serie1"/>
      <sheetName val="Existing_Debt_Profile_by_Reso1"/>
      <sheetName val="Existing_Debt_Profile_by_Serie1"/>
      <sheetName val="2011_P31"/>
      <sheetName val="Download_Sheet1"/>
      <sheetName val="Backup_data1"/>
    </sheetNames>
    <sheetDataSet>
      <sheetData sheetId="0"/>
      <sheetData sheetId="1"/>
      <sheetData sheetId="2"/>
      <sheetData sheetId="3"/>
      <sheetData sheetId="4"/>
      <sheetData sheetId="5">
        <row r="5">
          <cell r="C5" t="str">
            <v>1993X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 Item Mappings"/>
      <sheetName val="Drivers_Checks"/>
      <sheetName val="| Exhibits |"/>
      <sheetName val="EX_Cover"/>
      <sheetName val="EX_Disclaimer"/>
      <sheetName val="EX_Reforecast"/>
      <sheetName val="EX_Bridge_3-10"/>
      <sheetName val="EX_A2F"/>
      <sheetName val="EX_13WCF"/>
      <sheetName val="EX_PPT"/>
      <sheetName val="EX_Bridge"/>
      <sheetName val="EX_Detail_Stub"/>
      <sheetName val="EX_Plan"/>
      <sheetName val="| Work Sheets |"/>
      <sheetName val="WS_Detail"/>
      <sheetName val="WS_Live"/>
      <sheetName val="WS_Mar20"/>
      <sheetName val="SD_Daily_Mar20"/>
      <sheetName val="WS_Live_Stub"/>
      <sheetName val="WS_Feb27"/>
      <sheetName val="| Source Data |"/>
      <sheetName val="SD_Daily_Mar31"/>
      <sheetName val="SD_Annual_Mar21"/>
      <sheetName val="SD_Daily_Mar21"/>
      <sheetName val="SD_Annual_Mar31"/>
      <sheetName val="SD_Annual_Feb27"/>
      <sheetName val="SD_Daily_Feb27"/>
      <sheetName val="SD_Annual_Jan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Fiscal Cliff Considerations</v>
          </cell>
        </row>
      </sheetData>
      <sheetData sheetId="9">
        <row r="25">
          <cell r="G25" t="str">
            <v>Moratorium Extension Through 4/30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Sheet1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FEGP_Summary"/>
      <sheetName val="Various_Sums"/>
      <sheetName val="Calcs"/>
      <sheetName val="GF Budget"/>
      <sheetName val="PPT_Sum"/>
      <sheetName val="Proj_Data"/>
      <sheetName val="For_CU_CFs"/>
      <sheetName val="By Program"/>
      <sheetName val="Prior FEGP --&gt;"/>
      <sheetName val="Prior FEGP"/>
      <sheetName val="Bridge to Prior FEGP"/>
      <sheetName val="Bridge Chart"/>
      <sheetName val="CU Detail"/>
    </sheetNames>
    <sheetDataSet>
      <sheetData sheetId="0"/>
      <sheetData sheetId="1"/>
      <sheetData sheetId="2"/>
      <sheetData sheetId="3"/>
      <sheetData sheetId="4">
        <row r="3">
          <cell r="B3" t="str">
            <v>General Fund Budget ($MM)</v>
          </cell>
        </row>
        <row r="5">
          <cell r="C5" t="str">
            <v>Approved</v>
          </cell>
          <cell r="D5" t="str">
            <v>Normal.</v>
          </cell>
          <cell r="E5" t="str">
            <v>Adj.</v>
          </cell>
          <cell r="Q5" t="str">
            <v>Total</v>
          </cell>
        </row>
        <row r="6">
          <cell r="C6">
            <v>2017</v>
          </cell>
          <cell r="D6" t="str">
            <v>Adjs.</v>
          </cell>
          <cell r="E6">
            <v>2017</v>
          </cell>
          <cell r="F6">
            <v>2018</v>
          </cell>
          <cell r="G6">
            <v>2019</v>
          </cell>
          <cell r="H6">
            <v>2020</v>
          </cell>
          <cell r="I6">
            <v>2021</v>
          </cell>
          <cell r="J6">
            <v>2022</v>
          </cell>
          <cell r="K6">
            <v>2023</v>
          </cell>
          <cell r="L6">
            <v>2024</v>
          </cell>
          <cell r="M6">
            <v>2025</v>
          </cell>
          <cell r="N6">
            <v>2026</v>
          </cell>
          <cell r="Q6" t="str">
            <v>5 Yr</v>
          </cell>
          <cell r="R6" t="str">
            <v>10 Yr</v>
          </cell>
        </row>
        <row r="8">
          <cell r="B8" t="str">
            <v>Formula Appropriations</v>
          </cell>
          <cell r="C8">
            <v>1518.4960000000001</v>
          </cell>
          <cell r="D8">
            <v>0</v>
          </cell>
          <cell r="E8">
            <v>1518.4960000000001</v>
          </cell>
          <cell r="F8">
            <v>1626.1631503933036</v>
          </cell>
          <cell r="G8">
            <v>1626.1631503933036</v>
          </cell>
          <cell r="H8">
            <v>1626.1631503933036</v>
          </cell>
          <cell r="I8">
            <v>1626.1631503933036</v>
          </cell>
          <cell r="J8">
            <v>1626.1631503933036</v>
          </cell>
          <cell r="K8">
            <v>1626.1631503933036</v>
          </cell>
          <cell r="L8">
            <v>1626.1631503933036</v>
          </cell>
          <cell r="M8">
            <v>1626.1631503933036</v>
          </cell>
          <cell r="N8">
            <v>1626.1631503933036</v>
          </cell>
          <cell r="Q8">
            <v>8023.1486015732144</v>
          </cell>
          <cell r="R8">
            <v>16153.964353539734</v>
          </cell>
        </row>
        <row r="9">
          <cell r="B9" t="str">
            <v>Pension Contributions</v>
          </cell>
          <cell r="C9">
            <v>783.07799999999997</v>
          </cell>
          <cell r="D9">
            <v>0</v>
          </cell>
          <cell r="E9">
            <v>783.07799999999997</v>
          </cell>
          <cell r="F9">
            <v>1437.9164742330254</v>
          </cell>
          <cell r="G9">
            <v>1497.6741722022384</v>
          </cell>
          <cell r="H9">
            <v>1526.0787849729727</v>
          </cell>
          <cell r="I9">
            <v>1561.8312860562564</v>
          </cell>
          <cell r="J9">
            <v>1729.9667135256668</v>
          </cell>
          <cell r="K9">
            <v>1747.1514370304899</v>
          </cell>
          <cell r="L9">
            <v>1775.1040240041575</v>
          </cell>
          <cell r="M9">
            <v>1797.0647354869895</v>
          </cell>
          <cell r="N9">
            <v>1811.5079357160034</v>
          </cell>
          <cell r="Q9">
            <v>6806.578717464492</v>
          </cell>
          <cell r="R9">
            <v>15667.3735632278</v>
          </cell>
        </row>
        <row r="10">
          <cell r="B10" t="str">
            <v>ASES Health Card &amp; PBA Ops. Sub.</v>
          </cell>
          <cell r="C10">
            <v>975</v>
          </cell>
          <cell r="D10">
            <v>0</v>
          </cell>
          <cell r="E10">
            <v>975</v>
          </cell>
          <cell r="F10">
            <v>975</v>
          </cell>
          <cell r="G10">
            <v>975</v>
          </cell>
          <cell r="H10">
            <v>975</v>
          </cell>
          <cell r="I10">
            <v>975</v>
          </cell>
          <cell r="J10">
            <v>975</v>
          </cell>
          <cell r="K10">
            <v>975</v>
          </cell>
          <cell r="L10">
            <v>975</v>
          </cell>
          <cell r="M10">
            <v>975</v>
          </cell>
          <cell r="N10">
            <v>975</v>
          </cell>
          <cell r="Q10">
            <v>4875</v>
          </cell>
          <cell r="R10">
            <v>9750</v>
          </cell>
        </row>
        <row r="11">
          <cell r="B11" t="str">
            <v>Municipal Subsidies</v>
          </cell>
          <cell r="C11">
            <v>64.405000000000001</v>
          </cell>
          <cell r="D11">
            <v>0</v>
          </cell>
          <cell r="E11">
            <v>64.405000000000001</v>
          </cell>
          <cell r="F11">
            <v>64.405000000000001</v>
          </cell>
          <cell r="G11">
            <v>64.405000000000001</v>
          </cell>
          <cell r="H11">
            <v>64.405000000000001</v>
          </cell>
          <cell r="I11">
            <v>64.405000000000001</v>
          </cell>
          <cell r="J11">
            <v>64.405000000000001</v>
          </cell>
          <cell r="K11">
            <v>64.405000000000001</v>
          </cell>
          <cell r="L11">
            <v>64.405000000000001</v>
          </cell>
          <cell r="M11">
            <v>64.405000000000001</v>
          </cell>
          <cell r="N11">
            <v>64.405000000000001</v>
          </cell>
          <cell r="Q11">
            <v>322.02499999999998</v>
          </cell>
          <cell r="R11">
            <v>644.04999999999995</v>
          </cell>
        </row>
        <row r="12">
          <cell r="B12" t="str">
            <v>Legal Responsibility Fund</v>
          </cell>
          <cell r="C12">
            <v>117</v>
          </cell>
          <cell r="D12">
            <v>-49</v>
          </cell>
          <cell r="E12">
            <v>68</v>
          </cell>
          <cell r="F12">
            <v>68</v>
          </cell>
          <cell r="G12">
            <v>68</v>
          </cell>
          <cell r="H12">
            <v>68</v>
          </cell>
          <cell r="I12">
            <v>68</v>
          </cell>
          <cell r="J12">
            <v>68</v>
          </cell>
          <cell r="K12">
            <v>68</v>
          </cell>
          <cell r="L12">
            <v>68</v>
          </cell>
          <cell r="M12">
            <v>68</v>
          </cell>
          <cell r="N12">
            <v>68</v>
          </cell>
          <cell r="Q12">
            <v>389</v>
          </cell>
          <cell r="R12">
            <v>729</v>
          </cell>
        </row>
        <row r="13">
          <cell r="B13" t="str">
            <v>Special Education Fund</v>
          </cell>
          <cell r="C13">
            <v>75</v>
          </cell>
          <cell r="D13">
            <v>0</v>
          </cell>
          <cell r="E13">
            <v>75</v>
          </cell>
          <cell r="F13">
            <v>55.835999999999999</v>
          </cell>
          <cell r="G13">
            <v>55.835999999999999</v>
          </cell>
          <cell r="H13">
            <v>55.835999999999999</v>
          </cell>
          <cell r="I13">
            <v>55.835999999999999</v>
          </cell>
          <cell r="J13">
            <v>55.835999999999999</v>
          </cell>
          <cell r="K13">
            <v>55.835999999999999</v>
          </cell>
          <cell r="L13">
            <v>55.835999999999999</v>
          </cell>
          <cell r="M13">
            <v>55.835999999999999</v>
          </cell>
          <cell r="N13">
            <v>55.835999999999999</v>
          </cell>
          <cell r="Q13">
            <v>298.34399999999999</v>
          </cell>
          <cell r="R13">
            <v>577.524</v>
          </cell>
        </row>
        <row r="14">
          <cell r="B14" t="str">
            <v>Utilities (PREPA &amp; PRASA)</v>
          </cell>
          <cell r="C14">
            <v>154.012</v>
          </cell>
          <cell r="D14">
            <v>0</v>
          </cell>
          <cell r="E14">
            <v>154.012</v>
          </cell>
          <cell r="F14">
            <v>203.03198344222264</v>
          </cell>
          <cell r="G14">
            <v>213.08520177423065</v>
          </cell>
          <cell r="H14">
            <v>226.82820520855466</v>
          </cell>
          <cell r="I14">
            <v>233.02977057729481</v>
          </cell>
          <cell r="J14">
            <v>226.57580437222219</v>
          </cell>
          <cell r="K14">
            <v>232.94826500255212</v>
          </cell>
          <cell r="L14">
            <v>234.40144982033752</v>
          </cell>
          <cell r="M14">
            <v>245.68287817877842</v>
          </cell>
          <cell r="N14">
            <v>252.27047480730397</v>
          </cell>
          <cell r="Q14">
            <v>1029.9871610023029</v>
          </cell>
          <cell r="R14">
            <v>2221.8660331834972</v>
          </cell>
        </row>
        <row r="15">
          <cell r="B15" t="str">
            <v>ASEM Retirement System Paydown</v>
          </cell>
          <cell r="C15">
            <v>10</v>
          </cell>
          <cell r="D15">
            <v>0</v>
          </cell>
          <cell r="E15">
            <v>10</v>
          </cell>
          <cell r="F15">
            <v>10</v>
          </cell>
          <cell r="G15">
            <v>10</v>
          </cell>
          <cell r="H15">
            <v>10</v>
          </cell>
          <cell r="I15">
            <v>10</v>
          </cell>
          <cell r="J15">
            <v>10</v>
          </cell>
          <cell r="K15">
            <v>10</v>
          </cell>
          <cell r="L15">
            <v>0</v>
          </cell>
          <cell r="M15">
            <v>0</v>
          </cell>
          <cell r="N15">
            <v>0</v>
          </cell>
          <cell r="Q15">
            <v>50</v>
          </cell>
          <cell r="R15">
            <v>70</v>
          </cell>
        </row>
        <row r="16">
          <cell r="B16" t="str">
            <v>Police Social Security</v>
          </cell>
          <cell r="C16">
            <v>25</v>
          </cell>
          <cell r="D16">
            <v>0</v>
          </cell>
          <cell r="E16">
            <v>25</v>
          </cell>
          <cell r="F16">
            <v>35.409980093179747</v>
          </cell>
          <cell r="G16">
            <v>35.754342125301193</v>
          </cell>
          <cell r="H16">
            <v>36.107690908911287</v>
          </cell>
          <cell r="I16">
            <v>36.515181389374604</v>
          </cell>
          <cell r="J16">
            <v>36.996127380444449</v>
          </cell>
          <cell r="K16">
            <v>37.542054302469246</v>
          </cell>
          <cell r="L16">
            <v>38.123136150869009</v>
          </cell>
          <cell r="M16">
            <v>38.717506743806055</v>
          </cell>
          <cell r="N16">
            <v>39.321824751918626</v>
          </cell>
          <cell r="Q16">
            <v>168.78719451676682</v>
          </cell>
          <cell r="R16">
            <v>359.48784384627425</v>
          </cell>
        </row>
        <row r="17">
          <cell r="B17" t="str">
            <v>TRANS &amp; Other Debt</v>
          </cell>
          <cell r="C17">
            <v>31.706</v>
          </cell>
          <cell r="D17">
            <v>0</v>
          </cell>
          <cell r="E17">
            <v>31.706</v>
          </cell>
          <cell r="F17">
            <v>31.706</v>
          </cell>
          <cell r="G17">
            <v>31.706</v>
          </cell>
          <cell r="H17">
            <v>31.706</v>
          </cell>
          <cell r="I17">
            <v>31.706</v>
          </cell>
          <cell r="J17">
            <v>31.706</v>
          </cell>
          <cell r="K17">
            <v>31.706</v>
          </cell>
          <cell r="L17">
            <v>31.706</v>
          </cell>
          <cell r="M17">
            <v>31.706</v>
          </cell>
          <cell r="N17">
            <v>31.706</v>
          </cell>
          <cell r="Q17">
            <v>158.53</v>
          </cell>
          <cell r="R17">
            <v>317.06</v>
          </cell>
        </row>
        <row r="18">
          <cell r="B18" t="str">
            <v>Payroll-Related Expenses</v>
          </cell>
          <cell r="C18">
            <v>3344.4250000000002</v>
          </cell>
          <cell r="D18">
            <v>-4.1500000000000004</v>
          </cell>
          <cell r="E18">
            <v>3340.2750000000001</v>
          </cell>
          <cell r="F18">
            <v>3379.4020358784569</v>
          </cell>
          <cell r="G18">
            <v>3412.2667183597273</v>
          </cell>
          <cell r="H18">
            <v>3445.9890643075332</v>
          </cell>
          <cell r="I18">
            <v>3484.8785004398078</v>
          </cell>
          <cell r="J18">
            <v>3530.7782681632598</v>
          </cell>
          <cell r="K18">
            <v>3582.8795838622991</v>
          </cell>
          <cell r="L18">
            <v>3638.3359601812567</v>
          </cell>
          <cell r="M18">
            <v>3695.060566819051</v>
          </cell>
          <cell r="N18">
            <v>3752.7345192347143</v>
          </cell>
          <cell r="Q18">
            <v>17066.961318985526</v>
          </cell>
          <cell r="R18">
            <v>35266.75021724611</v>
          </cell>
        </row>
        <row r="19">
          <cell r="B19" t="str">
            <v>Other Operational Expenses</v>
          </cell>
          <cell r="C19">
            <v>1728.8779999999988</v>
          </cell>
          <cell r="D19">
            <v>-313.59400000000005</v>
          </cell>
          <cell r="E19">
            <v>1415.2839999999987</v>
          </cell>
          <cell r="F19">
            <v>1431.8622361770217</v>
          </cell>
          <cell r="G19">
            <v>1445.7870954418495</v>
          </cell>
          <cell r="H19">
            <v>1460.0753491522159</v>
          </cell>
          <cell r="I19">
            <v>1476.5529136422745</v>
          </cell>
          <cell r="J19">
            <v>1496.0007755287113</v>
          </cell>
          <cell r="K19">
            <v>1518.0762508975954</v>
          </cell>
          <cell r="L19">
            <v>1541.5732749756128</v>
          </cell>
          <cell r="M19">
            <v>1565.6076518400218</v>
          </cell>
          <cell r="N19">
            <v>1590.0442692055531</v>
          </cell>
          <cell r="Q19">
            <v>7543.1555944133606</v>
          </cell>
          <cell r="R19">
            <v>15254.457816860853</v>
          </cell>
        </row>
        <row r="21">
          <cell r="B21" t="str">
            <v>Total Baseline Ex. Reserves</v>
          </cell>
          <cell r="C21">
            <v>8827</v>
          </cell>
          <cell r="D21">
            <v>-366.74400000000003</v>
          </cell>
          <cell r="E21">
            <v>8460.2559999999994</v>
          </cell>
          <cell r="F21">
            <v>9318.7328602172092</v>
          </cell>
          <cell r="G21">
            <v>9435.6776802966524</v>
          </cell>
          <cell r="H21">
            <v>9526.1892449434927</v>
          </cell>
          <cell r="I21">
            <v>9623.9178024983121</v>
          </cell>
          <cell r="J21">
            <v>9851.4278393636087</v>
          </cell>
          <cell r="K21">
            <v>9949.7077414887081</v>
          </cell>
          <cell r="L21">
            <v>10048.647995525538</v>
          </cell>
          <cell r="M21">
            <v>10163.243489461951</v>
          </cell>
          <cell r="N21">
            <v>10266.989174108798</v>
          </cell>
          <cell r="Q21">
            <v>46731.517587955663</v>
          </cell>
          <cell r="R21">
            <v>97011.533827904277</v>
          </cell>
        </row>
        <row r="23">
          <cell r="B23" t="str">
            <v>GDB Debt Agreement</v>
          </cell>
          <cell r="E23">
            <v>0</v>
          </cell>
          <cell r="F23">
            <v>189</v>
          </cell>
          <cell r="G23">
            <v>189</v>
          </cell>
          <cell r="H23">
            <v>189</v>
          </cell>
          <cell r="I23">
            <v>189</v>
          </cell>
          <cell r="J23">
            <v>189</v>
          </cell>
          <cell r="K23">
            <v>189</v>
          </cell>
          <cell r="L23">
            <v>189</v>
          </cell>
          <cell r="M23">
            <v>189</v>
          </cell>
          <cell r="N23">
            <v>189</v>
          </cell>
          <cell r="Q23">
            <v>756</v>
          </cell>
          <cell r="R23">
            <v>1701</v>
          </cell>
        </row>
        <row r="24">
          <cell r="B24" t="str">
            <v>Employment Incentive Fund</v>
          </cell>
          <cell r="E24">
            <v>0</v>
          </cell>
          <cell r="F24">
            <v>12.856</v>
          </cell>
          <cell r="G24">
            <v>12.856</v>
          </cell>
          <cell r="H24">
            <v>12.856</v>
          </cell>
          <cell r="I24">
            <v>12.856</v>
          </cell>
          <cell r="J24">
            <v>12.856</v>
          </cell>
          <cell r="K24">
            <v>12.856</v>
          </cell>
          <cell r="L24">
            <v>12.856</v>
          </cell>
          <cell r="M24">
            <v>12.856</v>
          </cell>
          <cell r="N24">
            <v>12.856</v>
          </cell>
          <cell r="Q24">
            <v>51.423999999999999</v>
          </cell>
          <cell r="R24">
            <v>115.70400000000001</v>
          </cell>
        </row>
        <row r="25">
          <cell r="B25" t="str">
            <v>Accounting &amp; Financial System Costs</v>
          </cell>
          <cell r="E25">
            <v>0</v>
          </cell>
          <cell r="F25">
            <v>25.8</v>
          </cell>
          <cell r="G25">
            <v>10.379999999999999</v>
          </cell>
          <cell r="H25">
            <v>7.26</v>
          </cell>
          <cell r="I25">
            <v>7.6412000000000004</v>
          </cell>
          <cell r="J25">
            <v>7.683624</v>
          </cell>
          <cell r="K25">
            <v>7.7472964800000002</v>
          </cell>
          <cell r="L25">
            <v>7.8122424095999996</v>
          </cell>
          <cell r="M25">
            <v>34.5</v>
          </cell>
          <cell r="N25">
            <v>3.4460570029478399</v>
          </cell>
          <cell r="Q25">
            <v>51.081199999999995</v>
          </cell>
          <cell r="R25">
            <v>112.27041989254784</v>
          </cell>
        </row>
        <row r="26">
          <cell r="B26" t="str">
            <v>Special Education Fund - Non-GF Payroll</v>
          </cell>
          <cell r="E26">
            <v>0</v>
          </cell>
          <cell r="F26">
            <v>32</v>
          </cell>
          <cell r="G26">
            <v>32.311199978053892</v>
          </cell>
          <cell r="H26">
            <v>32.630521283679279</v>
          </cell>
          <cell r="I26">
            <v>32.998770442264316</v>
          </cell>
          <cell r="J26">
            <v>33.433401347837723</v>
          </cell>
          <cell r="K26">
            <v>33.926755522531494</v>
          </cell>
          <cell r="L26">
            <v>34.451879205172979</v>
          </cell>
          <cell r="M26">
            <v>34.989011926624265</v>
          </cell>
          <cell r="N26">
            <v>35.535134127447726</v>
          </cell>
          <cell r="Q26">
            <v>129.94049170399748</v>
          </cell>
          <cell r="R26">
            <v>302.27667383361165</v>
          </cell>
        </row>
        <row r="27">
          <cell r="B27" t="str">
            <v>Restructuring-Related Litigation</v>
          </cell>
          <cell r="E27">
            <v>0</v>
          </cell>
          <cell r="F27">
            <v>30</v>
          </cell>
          <cell r="G27">
            <v>30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Q27">
            <v>60</v>
          </cell>
          <cell r="R27">
            <v>60</v>
          </cell>
        </row>
        <row r="28">
          <cell r="B28" t="str">
            <v>Additional Litigation Costs</v>
          </cell>
          <cell r="E28">
            <v>0</v>
          </cell>
          <cell r="F28">
            <v>57</v>
          </cell>
          <cell r="G28">
            <v>57</v>
          </cell>
          <cell r="H28">
            <v>57</v>
          </cell>
          <cell r="I28">
            <v>57</v>
          </cell>
          <cell r="J28">
            <v>57</v>
          </cell>
          <cell r="K28">
            <v>57</v>
          </cell>
          <cell r="L28">
            <v>57</v>
          </cell>
          <cell r="M28">
            <v>57</v>
          </cell>
          <cell r="N28">
            <v>57</v>
          </cell>
          <cell r="Q28">
            <v>228</v>
          </cell>
          <cell r="R28">
            <v>513</v>
          </cell>
        </row>
        <row r="29">
          <cell r="B29" t="str">
            <v>Profession &amp; Consultancy Costs</v>
          </cell>
          <cell r="E29">
            <v>0</v>
          </cell>
          <cell r="F29">
            <v>33.404000000000003</v>
          </cell>
          <cell r="G29">
            <v>25.053000000000004</v>
          </cell>
          <cell r="H29">
            <v>0.83510000000000018</v>
          </cell>
          <cell r="I29">
            <v>0.83510000000000018</v>
          </cell>
          <cell r="J29">
            <v>0.83510000000000018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Q29">
            <v>60.127200000000002</v>
          </cell>
          <cell r="R29">
            <v>60.962299999999999</v>
          </cell>
        </row>
        <row r="30">
          <cell r="B30" t="str">
            <v>Election-Year Expenses:</v>
          </cell>
        </row>
        <row r="31">
          <cell r="B31" t="str">
            <v>Election-Related Expenses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41.731635873570987</v>
          </cell>
          <cell r="J31">
            <v>0</v>
          </cell>
          <cell r="K31">
            <v>0</v>
          </cell>
          <cell r="L31">
            <v>0</v>
          </cell>
          <cell r="M31">
            <v>44.248579135778357</v>
          </cell>
          <cell r="N31">
            <v>0</v>
          </cell>
          <cell r="Q31">
            <v>41.731635873570987</v>
          </cell>
          <cell r="R31">
            <v>85.980215009349337</v>
          </cell>
        </row>
        <row r="32">
          <cell r="B32" t="str">
            <v>Liquidation of Trusted Employees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12.519490762071296</v>
          </cell>
          <cell r="J32">
            <v>0</v>
          </cell>
          <cell r="K32">
            <v>0</v>
          </cell>
          <cell r="L32">
            <v>0</v>
          </cell>
          <cell r="M32">
            <v>13.274573740733507</v>
          </cell>
          <cell r="N32">
            <v>0</v>
          </cell>
          <cell r="Q32">
            <v>12.519490762071296</v>
          </cell>
          <cell r="R32">
            <v>25.794064502804801</v>
          </cell>
        </row>
        <row r="33">
          <cell r="B33" t="str">
            <v>Election-Related Expenses Funded with External Resources in '17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26.082272420981866</v>
          </cell>
          <cell r="J33">
            <v>0</v>
          </cell>
          <cell r="K33">
            <v>0</v>
          </cell>
          <cell r="L33">
            <v>0</v>
          </cell>
          <cell r="M33">
            <v>27.65536195986147</v>
          </cell>
          <cell r="N33">
            <v>0</v>
          </cell>
          <cell r="Q33">
            <v>26.082272420981866</v>
          </cell>
          <cell r="R33">
            <v>53.737634380843332</v>
          </cell>
        </row>
        <row r="34">
          <cell r="B34" t="str">
            <v>Subtotal - Election-Year Expenses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80.333399056624145</v>
          </cell>
          <cell r="J34">
            <v>0</v>
          </cell>
          <cell r="K34">
            <v>0</v>
          </cell>
          <cell r="L34">
            <v>0</v>
          </cell>
          <cell r="M34">
            <v>85.178514836373338</v>
          </cell>
          <cell r="N34">
            <v>0</v>
          </cell>
          <cell r="Q34">
            <v>80.333399056624145</v>
          </cell>
          <cell r="R34">
            <v>165.51191389299748</v>
          </cell>
        </row>
        <row r="36">
          <cell r="B36" t="str">
            <v xml:space="preserve">Total Overlay Adjustment </v>
          </cell>
          <cell r="C36">
            <v>0</v>
          </cell>
          <cell r="D36">
            <v>0</v>
          </cell>
          <cell r="E36">
            <v>0</v>
          </cell>
          <cell r="F36">
            <v>380.06</v>
          </cell>
          <cell r="G36">
            <v>356.60019997805387</v>
          </cell>
          <cell r="H36">
            <v>299.58162128367928</v>
          </cell>
          <cell r="I36">
            <v>380.66446949888848</v>
          </cell>
          <cell r="J36">
            <v>300.80812534783774</v>
          </cell>
          <cell r="K36">
            <v>300.53005200253148</v>
          </cell>
          <cell r="L36">
            <v>301.12012161477298</v>
          </cell>
          <cell r="M36">
            <v>413.52352676299756</v>
          </cell>
          <cell r="N36">
            <v>297.83719113039558</v>
          </cell>
          <cell r="Q36">
            <v>1416.9062907606215</v>
          </cell>
          <cell r="R36">
            <v>3030.7253076191573</v>
          </cell>
        </row>
        <row r="38">
          <cell r="B38" t="str">
            <v>Summary</v>
          </cell>
        </row>
        <row r="39">
          <cell r="B39" t="str">
            <v>Baseline Expenditures Ex. Reserves</v>
          </cell>
          <cell r="C39">
            <v>8827</v>
          </cell>
          <cell r="D39">
            <v>-366.74400000000003</v>
          </cell>
          <cell r="E39">
            <v>8460.2559999999994</v>
          </cell>
          <cell r="F39">
            <v>9318.7328602172092</v>
          </cell>
          <cell r="G39">
            <v>9435.6776802966524</v>
          </cell>
          <cell r="H39">
            <v>9526.1892449434927</v>
          </cell>
          <cell r="I39">
            <v>9623.9178024983121</v>
          </cell>
          <cell r="J39">
            <v>9851.4278393636087</v>
          </cell>
          <cell r="K39">
            <v>9949.7077414887081</v>
          </cell>
          <cell r="L39">
            <v>10048.647995525538</v>
          </cell>
          <cell r="M39">
            <v>10163.243489461951</v>
          </cell>
          <cell r="N39">
            <v>10266.989174108798</v>
          </cell>
          <cell r="Q39">
            <v>46731.517587955663</v>
          </cell>
          <cell r="R39">
            <v>97011.533827904277</v>
          </cell>
        </row>
        <row r="40">
          <cell r="B40" t="str">
            <v>Overlay Adjustments</v>
          </cell>
          <cell r="C40">
            <v>0</v>
          </cell>
          <cell r="D40">
            <v>0</v>
          </cell>
          <cell r="E40">
            <v>0</v>
          </cell>
          <cell r="F40">
            <v>380.06</v>
          </cell>
          <cell r="G40">
            <v>356.60019997805387</v>
          </cell>
          <cell r="H40">
            <v>299.58162128367928</v>
          </cell>
          <cell r="I40">
            <v>380.66446949888848</v>
          </cell>
          <cell r="J40">
            <v>300.80812534783774</v>
          </cell>
          <cell r="K40">
            <v>300.53005200253148</v>
          </cell>
          <cell r="L40">
            <v>301.12012161477298</v>
          </cell>
          <cell r="M40">
            <v>413.52352676299756</v>
          </cell>
          <cell r="N40">
            <v>297.83719113039558</v>
          </cell>
          <cell r="Q40">
            <v>1416.9062907606215</v>
          </cell>
          <cell r="R40">
            <v>3030.7253076191573</v>
          </cell>
        </row>
        <row r="42">
          <cell r="B42" t="str">
            <v>Total Expenses Ex. Reserves</v>
          </cell>
          <cell r="C42">
            <v>8827</v>
          </cell>
          <cell r="D42">
            <v>-366.74400000000003</v>
          </cell>
          <cell r="E42">
            <v>8460.2559999999994</v>
          </cell>
          <cell r="F42">
            <v>9698.7928602172087</v>
          </cell>
          <cell r="G42">
            <v>9792.2778802747071</v>
          </cell>
          <cell r="H42">
            <v>9825.7708662271725</v>
          </cell>
          <cell r="I42">
            <v>10004.5822719972</v>
          </cell>
          <cell r="J42">
            <v>10152.235964711446</v>
          </cell>
          <cell r="K42">
            <v>10250.23779349124</v>
          </cell>
          <cell r="L42">
            <v>10349.768117140311</v>
          </cell>
          <cell r="M42">
            <v>10576.767016224949</v>
          </cell>
          <cell r="N42">
            <v>10564.826365239192</v>
          </cell>
          <cell r="Q42">
            <v>48148.423878716283</v>
          </cell>
          <cell r="R42">
            <v>100042.25913552343</v>
          </cell>
        </row>
        <row r="43">
          <cell r="B43" t="str">
            <v>Budget &amp; Emergency Fund Reserve</v>
          </cell>
          <cell r="C43">
            <v>220</v>
          </cell>
          <cell r="D43">
            <v>0</v>
          </cell>
          <cell r="E43">
            <v>220</v>
          </cell>
          <cell r="F43">
            <v>167.19099195619049</v>
          </cell>
          <cell r="G43">
            <v>153.27458938616201</v>
          </cell>
          <cell r="H43">
            <v>151.95182576582113</v>
          </cell>
          <cell r="I43">
            <v>91.42160260777176</v>
          </cell>
          <cell r="J43">
            <v>75.265736571306547</v>
          </cell>
          <cell r="K43">
            <v>48.650986086138118</v>
          </cell>
          <cell r="L43">
            <v>9.7144681079209931</v>
          </cell>
          <cell r="M43">
            <v>14.18970705850802</v>
          </cell>
          <cell r="N43">
            <v>18.918143529107851</v>
          </cell>
          <cell r="Q43">
            <v>783.83900971594539</v>
          </cell>
          <cell r="R43">
            <v>950.57805106892692</v>
          </cell>
        </row>
        <row r="44">
          <cell r="B44" t="str">
            <v>Total Expenses Incl. Reserves</v>
          </cell>
          <cell r="C44">
            <v>9047</v>
          </cell>
          <cell r="D44">
            <v>-366.74400000000003</v>
          </cell>
          <cell r="E44">
            <v>8680.2559999999994</v>
          </cell>
          <cell r="F44">
            <v>9865.9838521734</v>
          </cell>
          <cell r="G44">
            <v>9945.55246966087</v>
          </cell>
          <cell r="H44">
            <v>9977.7226919929944</v>
          </cell>
          <cell r="I44">
            <v>10096.003874604972</v>
          </cell>
          <cell r="J44">
            <v>10227.501701282752</v>
          </cell>
          <cell r="K44">
            <v>10298.888779577379</v>
          </cell>
          <cell r="L44">
            <v>10359.482585248232</v>
          </cell>
          <cell r="M44">
            <v>10590.956723283456</v>
          </cell>
          <cell r="N44">
            <v>10583.744508768301</v>
          </cell>
          <cell r="Q44">
            <v>48932.262888432226</v>
          </cell>
          <cell r="R44">
            <v>100992.83718659235</v>
          </cell>
        </row>
        <row r="46">
          <cell r="B46" t="str">
            <v>General Fund Expenditures Ex Reserves</v>
          </cell>
          <cell r="E46">
            <v>8827</v>
          </cell>
          <cell r="F46">
            <v>9698.7928602172087</v>
          </cell>
          <cell r="G46">
            <v>9792.2778802747071</v>
          </cell>
          <cell r="H46">
            <v>9825.7708662271725</v>
          </cell>
          <cell r="I46">
            <v>10004.5822719972</v>
          </cell>
          <cell r="J46">
            <v>10152.235964711446</v>
          </cell>
          <cell r="K46">
            <v>10250.23779349124</v>
          </cell>
          <cell r="L46">
            <v>10349.768117140311</v>
          </cell>
          <cell r="M46">
            <v>10576.767016224949</v>
          </cell>
          <cell r="N46">
            <v>10564.826365239192</v>
          </cell>
          <cell r="Q46">
            <v>48148.423878716283</v>
          </cell>
          <cell r="R46">
            <v>100042.25913552343</v>
          </cell>
        </row>
        <row r="48">
          <cell r="B48" t="str">
            <v>( – ) GDB/TRANs Debt Service</v>
          </cell>
          <cell r="E48">
            <v>-189.34</v>
          </cell>
          <cell r="F48">
            <v>-213</v>
          </cell>
          <cell r="G48">
            <v>-213</v>
          </cell>
          <cell r="H48">
            <v>-213</v>
          </cell>
          <cell r="I48">
            <v>-213</v>
          </cell>
          <cell r="J48">
            <v>-213</v>
          </cell>
          <cell r="K48">
            <v>-213</v>
          </cell>
          <cell r="L48">
            <v>-213</v>
          </cell>
          <cell r="M48">
            <v>-213</v>
          </cell>
          <cell r="N48">
            <v>-213</v>
          </cell>
          <cell r="Q48">
            <v>-1041.3400000000001</v>
          </cell>
          <cell r="R48">
            <v>-2106.34</v>
          </cell>
        </row>
        <row r="49">
          <cell r="B49" t="str">
            <v>( – ) Additional Debt supported by appropriations - UPR</v>
          </cell>
          <cell r="E49">
            <v>-42.554500000000004</v>
          </cell>
          <cell r="F49">
            <v>-42.551250000000003</v>
          </cell>
          <cell r="G49">
            <v>-42.555750000000003</v>
          </cell>
          <cell r="H49">
            <v>-42.555000000000007</v>
          </cell>
          <cell r="I49">
            <v>-42.551500000000004</v>
          </cell>
          <cell r="J49">
            <v>-42.557500000000005</v>
          </cell>
          <cell r="K49">
            <v>-42.554500000000004</v>
          </cell>
          <cell r="L49">
            <v>-42.559750000000001</v>
          </cell>
          <cell r="M49">
            <v>-42.554500000000004</v>
          </cell>
          <cell r="N49">
            <v>-30.585750000000001</v>
          </cell>
          <cell r="Q49">
            <v>-212.768</v>
          </cell>
          <cell r="R49">
            <v>-413.58</v>
          </cell>
        </row>
        <row r="50">
          <cell r="B50" t="str">
            <v xml:space="preserve">( – ) TRS Judiciary Base &amp; Additional AUC </v>
          </cell>
          <cell r="E50">
            <v>-100</v>
          </cell>
          <cell r="F50">
            <v>-30</v>
          </cell>
          <cell r="G50">
            <v>-630</v>
          </cell>
          <cell r="H50">
            <v>-630</v>
          </cell>
          <cell r="I50">
            <v>-630</v>
          </cell>
          <cell r="J50">
            <v>-630</v>
          </cell>
          <cell r="K50">
            <v>-630</v>
          </cell>
          <cell r="L50">
            <v>-630</v>
          </cell>
          <cell r="M50">
            <v>-630</v>
          </cell>
          <cell r="N50">
            <v>-630</v>
          </cell>
          <cell r="Q50">
            <v>-2020</v>
          </cell>
          <cell r="R50">
            <v>-5170</v>
          </cell>
        </row>
        <row r="51">
          <cell r="B51" t="str">
            <v>( – ) ERS Base Central Govt. &amp; Munis Subsidy AUC Payable by GF</v>
          </cell>
          <cell r="E51">
            <v>-166.488</v>
          </cell>
          <cell r="F51">
            <v>-442.54893649732173</v>
          </cell>
          <cell r="G51">
            <v>-442.54893649732173</v>
          </cell>
          <cell r="H51">
            <v>-442.54893649732173</v>
          </cell>
          <cell r="I51">
            <v>-442.54893649732173</v>
          </cell>
          <cell r="J51">
            <v>-442.54893649732173</v>
          </cell>
          <cell r="K51">
            <v>-442.54893649732173</v>
          </cell>
          <cell r="L51">
            <v>-442.54893649732173</v>
          </cell>
          <cell r="M51">
            <v>-442.54893649732173</v>
          </cell>
          <cell r="N51">
            <v>-442.54893649732173</v>
          </cell>
          <cell r="Q51">
            <v>-1936.6837459892872</v>
          </cell>
          <cell r="R51">
            <v>-4149.428428475896</v>
          </cell>
        </row>
        <row r="53">
          <cell r="B53" t="str">
            <v>FEGP Adjusted General Fund Budget</v>
          </cell>
          <cell r="E53">
            <v>8328.6175000000003</v>
          </cell>
          <cell r="F53">
            <v>8970.6926737198864</v>
          </cell>
          <cell r="G53">
            <v>8464.1731937773857</v>
          </cell>
          <cell r="H53">
            <v>8497.6669297298504</v>
          </cell>
          <cell r="I53">
            <v>8676.4818354998788</v>
          </cell>
          <cell r="J53">
            <v>8824.1295282141236</v>
          </cell>
          <cell r="K53">
            <v>8922.1343569939181</v>
          </cell>
          <cell r="L53">
            <v>9021.6594306429888</v>
          </cell>
          <cell r="M53">
            <v>9248.6635797276267</v>
          </cell>
          <cell r="N53">
            <v>9248.6916787418704</v>
          </cell>
          <cell r="Q53">
            <v>42937.632132726998</v>
          </cell>
          <cell r="R53">
            <v>88202.910707047544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 Revenue"/>
      <sheetName val="GF Rev. Bridge"/>
      <sheetName val="GF Budget"/>
      <sheetName val="ASES Fcst"/>
      <sheetName val="ASES Var."/>
      <sheetName val="ASEM Fcst"/>
      <sheetName val="ASEM Var."/>
      <sheetName val="UPR Fcst"/>
      <sheetName val="UPR Recon."/>
      <sheetName val="PRITA Fcst"/>
      <sheetName val="PRITA Var."/>
      <sheetName val="Proprietary Fcst"/>
      <sheetName val="PBA Fcst"/>
      <sheetName val="PBA Var."/>
      <sheetName val="Cardio Fcst"/>
      <sheetName val="PRPA Fcst"/>
      <sheetName val="AEDA Fcst"/>
      <sheetName val="Tourism Fcst"/>
      <sheetName val="SRF Fcst"/>
      <sheetName val="AP Estimate"/>
      <sheetName val="Paydown Analysis"/>
      <sheetName val="AP Fcst"/>
      <sheetName val="Tables_PP2022-08979"/>
    </sheetNames>
    <sheetDataSet>
      <sheetData sheetId="0">
        <row r="4">
          <cell r="P4" t="str">
            <v>Total</v>
          </cell>
        </row>
      </sheetData>
      <sheetData sheetId="1"/>
      <sheetData sheetId="2">
        <row r="3">
          <cell r="B3" t="str">
            <v>General Fund Budget ($MM)</v>
          </cell>
        </row>
      </sheetData>
      <sheetData sheetId="3">
        <row r="4">
          <cell r="P4" t="str">
            <v>Total</v>
          </cell>
        </row>
      </sheetData>
      <sheetData sheetId="4">
        <row r="4">
          <cell r="E4" t="str">
            <v>ASES</v>
          </cell>
        </row>
      </sheetData>
      <sheetData sheetId="5">
        <row r="4">
          <cell r="P4" t="str">
            <v>Total</v>
          </cell>
        </row>
      </sheetData>
      <sheetData sheetId="6"/>
      <sheetData sheetId="7">
        <row r="3">
          <cell r="B3" t="str">
            <v>University of Puerto Rico ($MM)</v>
          </cell>
        </row>
      </sheetData>
      <sheetData sheetId="8">
        <row r="5">
          <cell r="P5" t="str">
            <v>Total</v>
          </cell>
        </row>
      </sheetData>
      <sheetData sheetId="9">
        <row r="4">
          <cell r="P4" t="str">
            <v>Total</v>
          </cell>
        </row>
      </sheetData>
      <sheetData sheetId="10">
        <row r="5">
          <cell r="B5" t="str">
            <v>FY 2016-25 PRITA Deficit Ex. Capex (Ex. Tren Urbano) - Previous FEGP</v>
          </cell>
        </row>
      </sheetData>
      <sheetData sheetId="11">
        <row r="3">
          <cell r="D3" t="str">
            <v>Proprietary Funds ($MM)</v>
          </cell>
        </row>
      </sheetData>
      <sheetData sheetId="12">
        <row r="4">
          <cell r="P4" t="str">
            <v>Total</v>
          </cell>
        </row>
      </sheetData>
      <sheetData sheetId="13">
        <row r="5">
          <cell r="B5" t="str">
            <v>FY 2016 - FY 2025 PBA Cash Flows - Previous FEGP</v>
          </cell>
        </row>
      </sheetData>
      <sheetData sheetId="14">
        <row r="4">
          <cell r="P4" t="str">
            <v>Total</v>
          </cell>
        </row>
      </sheetData>
      <sheetData sheetId="15">
        <row r="4">
          <cell r="P4" t="str">
            <v>Total</v>
          </cell>
        </row>
      </sheetData>
      <sheetData sheetId="16">
        <row r="4">
          <cell r="P4" t="str">
            <v>Total</v>
          </cell>
        </row>
      </sheetData>
      <sheetData sheetId="17">
        <row r="4">
          <cell r="P4" t="str">
            <v>Total</v>
          </cell>
        </row>
      </sheetData>
      <sheetData sheetId="18">
        <row r="4">
          <cell r="P4" t="str">
            <v>Total</v>
          </cell>
        </row>
      </sheetData>
      <sheetData sheetId="19">
        <row r="2">
          <cell r="D2" t="str">
            <v>FY 2014
CAFR</v>
          </cell>
        </row>
      </sheetData>
      <sheetData sheetId="20">
        <row r="5">
          <cell r="A5">
            <v>1</v>
          </cell>
        </row>
      </sheetData>
      <sheetData sheetId="21">
        <row r="4">
          <cell r="P4" t="str">
            <v>Total</v>
          </cell>
        </row>
      </sheetData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Assumptions"/>
      <sheetName val="Glossary"/>
      <sheetName val="Sum"/>
      <sheetName val="7-18_Draft_Bridge"/>
      <sheetName val="TSA_Bridge"/>
      <sheetName val="6-9_Draft_Bridge"/>
      <sheetName val="6-9_Comparison"/>
      <sheetName val="Calcs"/>
      <sheetName val="REVENUE &gt;"/>
      <sheetName val="Rev_GF"/>
      <sheetName val="Rev_SourceData"/>
      <sheetName val="Rev_PostAcct"/>
      <sheetName val="Rev_Act154"/>
      <sheetName val="Rev_Measures"/>
      <sheetName val="Rev_SUT"/>
      <sheetName val="Rev. AF17 ene"/>
      <sheetName val="EXPENSE &gt;"/>
      <sheetName val="Budget_18"/>
      <sheetName val="Payroll_Bridge"/>
      <sheetName val="Payroll_Measures"/>
      <sheetName val="Garnishments"/>
      <sheetName val="EE_Contrib"/>
      <sheetName val="Reserves"/>
      <sheetName val="Pensions_Update"/>
      <sheetName val="Hacienda_CF"/>
      <sheetName val="Misc. -&gt;"/>
      <sheetName val="All_Measures"/>
      <sheetName val="Moratorium"/>
      <sheetName val="TSA Analysis by Agency"/>
      <sheetName val="HTA_Buildup"/>
      <sheetName val="OLD | UNUSED -&gt;"/>
      <sheetName val="Historical_CFs"/>
      <sheetName val="H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B1" t="str">
            <v>FY2018 TSA Liquidity Risk Assessment</v>
          </cell>
        </row>
        <row r="2">
          <cell r="B2" t="str">
            <v>As of October 3, 2017</v>
          </cell>
        </row>
        <row r="3">
          <cell r="B3" t="str">
            <v>($ in millions)</v>
          </cell>
          <cell r="G3" t="str">
            <v>Risk Assessment</v>
          </cell>
          <cell r="S3" t="str">
            <v>Budget Projections</v>
          </cell>
          <cell r="AH3" t="str">
            <v>Risk-Adjusted Projections</v>
          </cell>
          <cell r="AW3" t="str">
            <v>Month Reference</v>
          </cell>
        </row>
        <row r="5">
          <cell r="B5" t="str">
            <v>Budget Projection</v>
          </cell>
          <cell r="C5" t="str">
            <v>Current FY18 Projections in Liquidity Plan</v>
          </cell>
          <cell r="D5" t="str">
            <v>Event Risk</v>
          </cell>
          <cell r="E5" t="str">
            <v>Timing / Delay Risk</v>
          </cell>
          <cell r="G5" t="str">
            <v>Event Risk</v>
          </cell>
          <cell r="H5" t="str">
            <v>Event Probability</v>
          </cell>
          <cell r="I5" t="str">
            <v>Timing / Delay Risk</v>
          </cell>
          <cell r="J5" t="str">
            <v>Timing / Delay Probability</v>
          </cell>
          <cell r="M5" t="str">
            <v>FY2018 TSA Liquidity at Risk  (a)</v>
          </cell>
          <cell r="P5" t="str">
            <v>Current Porjections Timing (mos.)</v>
          </cell>
          <cell r="Q5" t="str">
            <v>Delay Assumption (mos.)</v>
          </cell>
          <cell r="S5" t="str">
            <v>Jul</v>
          </cell>
          <cell r="T5" t="str">
            <v>Aug</v>
          </cell>
          <cell r="U5" t="str">
            <v>Sep</v>
          </cell>
          <cell r="V5" t="str">
            <v>Oct</v>
          </cell>
          <cell r="W5" t="str">
            <v>Nov</v>
          </cell>
          <cell r="X5" t="str">
            <v>Dec</v>
          </cell>
          <cell r="Y5" t="str">
            <v>Jan</v>
          </cell>
          <cell r="Z5" t="str">
            <v>Feb</v>
          </cell>
          <cell r="AA5" t="str">
            <v>Mar</v>
          </cell>
          <cell r="AB5" t="str">
            <v>Apr</v>
          </cell>
          <cell r="AC5" t="str">
            <v>May</v>
          </cell>
          <cell r="AD5" t="str">
            <v>Jun</v>
          </cell>
          <cell r="AE5" t="str">
            <v>Total</v>
          </cell>
          <cell r="AF5" t="str">
            <v>Check</v>
          </cell>
          <cell r="AH5" t="str">
            <v>Jul</v>
          </cell>
          <cell r="AI5" t="str">
            <v>Aug</v>
          </cell>
          <cell r="AJ5" t="str">
            <v>Sep</v>
          </cell>
          <cell r="AK5" t="str">
            <v>Oct</v>
          </cell>
          <cell r="AL5" t="str">
            <v>Nov</v>
          </cell>
          <cell r="AM5" t="str">
            <v>Dec</v>
          </cell>
          <cell r="AN5" t="str">
            <v>Jan</v>
          </cell>
          <cell r="AO5" t="str">
            <v>Feb</v>
          </cell>
          <cell r="AP5" t="str">
            <v>Mar</v>
          </cell>
          <cell r="AQ5" t="str">
            <v>Apr</v>
          </cell>
          <cell r="AR5" t="str">
            <v>May</v>
          </cell>
          <cell r="AS5" t="str">
            <v>Jun</v>
          </cell>
          <cell r="AT5" t="str">
            <v>Total</v>
          </cell>
          <cell r="AV5" t="str">
            <v>Do not Delete</v>
          </cell>
          <cell r="AW5" t="str">
            <v>Jul</v>
          </cell>
          <cell r="AX5" t="str">
            <v>Aug</v>
          </cell>
          <cell r="AY5" t="str">
            <v>Sep</v>
          </cell>
          <cell r="AZ5" t="str">
            <v>Oct</v>
          </cell>
          <cell r="BA5" t="str">
            <v>Nov</v>
          </cell>
          <cell r="BB5" t="str">
            <v>Dec</v>
          </cell>
          <cell r="BC5" t="str">
            <v>Jan</v>
          </cell>
          <cell r="BD5" t="str">
            <v>Feb</v>
          </cell>
          <cell r="BE5" t="str">
            <v>Mar</v>
          </cell>
          <cell r="BF5" t="str">
            <v>Apr</v>
          </cell>
          <cell r="BG5" t="str">
            <v>May</v>
          </cell>
          <cell r="BH5" t="str">
            <v>Jun</v>
          </cell>
          <cell r="BK5" t="str">
            <v>Timing</v>
          </cell>
          <cell r="BL5" t="str">
            <v>Comments</v>
          </cell>
        </row>
        <row r="7">
          <cell r="A7">
            <v>1</v>
          </cell>
          <cell r="B7" t="str">
            <v>Legal</v>
          </cell>
        </row>
        <row r="8">
          <cell r="A8">
            <v>2</v>
          </cell>
          <cell r="B8" t="str">
            <v>Access to COFINA Funds After 11/1</v>
          </cell>
          <cell r="C8">
            <v>316.4056533333333</v>
          </cell>
          <cell r="D8" t="str">
            <v xml:space="preserve">GPR is unable to access COFINA funds </v>
          </cell>
          <cell r="E8" t="str">
            <v>Event occurs on 11/1</v>
          </cell>
          <cell r="G8" t="str">
            <v>H</v>
          </cell>
          <cell r="H8">
            <v>1</v>
          </cell>
          <cell r="I8" t="str">
            <v>NA</v>
          </cell>
          <cell r="J8" t="str">
            <v>NA</v>
          </cell>
          <cell r="M8">
            <v>316.4056533333333</v>
          </cell>
          <cell r="P8">
            <v>12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117.33333333333331</v>
          </cell>
          <cell r="X8">
            <v>132.13333333333333</v>
          </cell>
          <cell r="Y8">
            <v>66.938986666666665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316.4056533333333</v>
          </cell>
          <cell r="AF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1</v>
          </cell>
          <cell r="BB8">
            <v>2</v>
          </cell>
          <cell r="BC8">
            <v>3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K8">
            <v>43040</v>
          </cell>
          <cell r="BL8" t="str">
            <v>Budget assumes GPR access to funds beginning 11/1</v>
          </cell>
        </row>
        <row r="9">
          <cell r="A9">
            <v>3</v>
          </cell>
          <cell r="B9" t="str">
            <v>Non-Payment of ERS POB's</v>
          </cell>
          <cell r="C9">
            <v>252</v>
          </cell>
          <cell r="D9" t="str">
            <v>GPR is ordered to set aside employer contributions as collateral for POB's</v>
          </cell>
          <cell r="E9" t="str">
            <v>Event occurs 3 months into the fiscal year</v>
          </cell>
          <cell r="G9" t="str">
            <v>NA</v>
          </cell>
          <cell r="H9" t="str">
            <v>NA</v>
          </cell>
          <cell r="I9" t="str">
            <v>L</v>
          </cell>
          <cell r="J9">
            <v>0.1</v>
          </cell>
          <cell r="M9">
            <v>18.899999999999949</v>
          </cell>
          <cell r="P9">
            <v>12</v>
          </cell>
          <cell r="Q9">
            <v>3</v>
          </cell>
          <cell r="S9">
            <v>21</v>
          </cell>
          <cell r="T9">
            <v>21</v>
          </cell>
          <cell r="U9">
            <v>21</v>
          </cell>
          <cell r="V9">
            <v>21</v>
          </cell>
          <cell r="W9">
            <v>21</v>
          </cell>
          <cell r="X9">
            <v>21</v>
          </cell>
          <cell r="Y9">
            <v>21</v>
          </cell>
          <cell r="Z9">
            <v>21</v>
          </cell>
          <cell r="AA9">
            <v>21</v>
          </cell>
          <cell r="AB9">
            <v>21</v>
          </cell>
          <cell r="AC9">
            <v>21</v>
          </cell>
          <cell r="AD9">
            <v>21</v>
          </cell>
          <cell r="AE9">
            <v>252</v>
          </cell>
          <cell r="AF9">
            <v>0</v>
          </cell>
          <cell r="AH9">
            <v>21</v>
          </cell>
          <cell r="AI9">
            <v>21</v>
          </cell>
          <cell r="AJ9">
            <v>21</v>
          </cell>
          <cell r="AK9">
            <v>18.900000000000002</v>
          </cell>
          <cell r="AL9">
            <v>18.900000000000002</v>
          </cell>
          <cell r="AM9">
            <v>18.900000000000002</v>
          </cell>
          <cell r="AN9">
            <v>18.900000000000002</v>
          </cell>
          <cell r="AO9">
            <v>18.900000000000002</v>
          </cell>
          <cell r="AP9">
            <v>18.900000000000002</v>
          </cell>
          <cell r="AQ9">
            <v>18.900000000000002</v>
          </cell>
          <cell r="AR9">
            <v>18.900000000000002</v>
          </cell>
          <cell r="AS9">
            <v>18.900000000000002</v>
          </cell>
          <cell r="AT9">
            <v>233.10000000000005</v>
          </cell>
          <cell r="AV9">
            <v>0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5</v>
          </cell>
          <cell r="BB9">
            <v>6</v>
          </cell>
          <cell r="BC9">
            <v>7</v>
          </cell>
          <cell r="BD9">
            <v>8</v>
          </cell>
          <cell r="BE9">
            <v>9</v>
          </cell>
          <cell r="BF9">
            <v>10</v>
          </cell>
          <cell r="BG9">
            <v>11</v>
          </cell>
          <cell r="BH9">
            <v>12</v>
          </cell>
          <cell r="BK9">
            <v>42916</v>
          </cell>
        </row>
        <row r="10">
          <cell r="A10">
            <v>4</v>
          </cell>
          <cell r="B10" t="str">
            <v>Retention of Moratorium Related Revenues</v>
          </cell>
          <cell r="C10">
            <v>545.08000000000004</v>
          </cell>
          <cell r="D10" t="str">
            <v>GPR is ordered to stop retaining "clawbackable" revenue effective 10/1</v>
          </cell>
          <cell r="E10" t="str">
            <v>Event occurs 3 months into the fiscal year</v>
          </cell>
          <cell r="G10" t="str">
            <v>NA</v>
          </cell>
          <cell r="H10" t="str">
            <v>NA</v>
          </cell>
          <cell r="I10" t="str">
            <v>L</v>
          </cell>
          <cell r="J10">
            <v>0.1</v>
          </cell>
          <cell r="M10">
            <v>38.213999999999942</v>
          </cell>
          <cell r="P10">
            <v>12</v>
          </cell>
          <cell r="Q10">
            <v>3</v>
          </cell>
          <cell r="S10">
            <v>0</v>
          </cell>
          <cell r="T10">
            <v>55.08</v>
          </cell>
          <cell r="U10">
            <v>52.28</v>
          </cell>
          <cell r="V10">
            <v>55.58</v>
          </cell>
          <cell r="W10">
            <v>56.68</v>
          </cell>
          <cell r="X10">
            <v>56.28</v>
          </cell>
          <cell r="Y10">
            <v>60.78</v>
          </cell>
          <cell r="Z10">
            <v>58.58</v>
          </cell>
          <cell r="AA10">
            <v>52.28</v>
          </cell>
          <cell r="AB10">
            <v>39.28</v>
          </cell>
          <cell r="AC10">
            <v>18.97999999999999</v>
          </cell>
          <cell r="AD10">
            <v>39.28</v>
          </cell>
          <cell r="AE10">
            <v>545.07999999999993</v>
          </cell>
          <cell r="AF10">
            <v>0</v>
          </cell>
          <cell r="AH10">
            <v>0</v>
          </cell>
          <cell r="AI10">
            <v>55.08</v>
          </cell>
          <cell r="AJ10">
            <v>52.28</v>
          </cell>
          <cell r="AK10">
            <v>55.58</v>
          </cell>
          <cell r="AL10">
            <v>51.012</v>
          </cell>
          <cell r="AM10">
            <v>50.652000000000001</v>
          </cell>
          <cell r="AN10">
            <v>54.702000000000005</v>
          </cell>
          <cell r="AO10">
            <v>52.722000000000001</v>
          </cell>
          <cell r="AP10">
            <v>47.052</v>
          </cell>
          <cell r="AQ10">
            <v>35.352000000000004</v>
          </cell>
          <cell r="AR10">
            <v>17.08199999999999</v>
          </cell>
          <cell r="AS10">
            <v>35.352000000000004</v>
          </cell>
          <cell r="AT10">
            <v>506.86599999999999</v>
          </cell>
          <cell r="AV10">
            <v>0</v>
          </cell>
          <cell r="AW10">
            <v>0</v>
          </cell>
          <cell r="AX10">
            <v>1</v>
          </cell>
          <cell r="AY10">
            <v>2</v>
          </cell>
          <cell r="AZ10">
            <v>3</v>
          </cell>
          <cell r="BA10">
            <v>4</v>
          </cell>
          <cell r="BB10">
            <v>5</v>
          </cell>
          <cell r="BC10">
            <v>6</v>
          </cell>
          <cell r="BD10">
            <v>7</v>
          </cell>
          <cell r="BE10">
            <v>8</v>
          </cell>
          <cell r="BF10">
            <v>9</v>
          </cell>
          <cell r="BG10">
            <v>10</v>
          </cell>
          <cell r="BH10">
            <v>11</v>
          </cell>
          <cell r="BK10">
            <v>42947</v>
          </cell>
        </row>
        <row r="11">
          <cell r="A11">
            <v>5</v>
          </cell>
          <cell r="B11" t="str">
            <v>Non-Payment of TRANS</v>
          </cell>
          <cell r="C11">
            <v>423</v>
          </cell>
          <cell r="D11" t="str">
            <v>GPR is ordered to repay the intragovernmental TRAN's</v>
          </cell>
          <cell r="E11" t="str">
            <v>None</v>
          </cell>
          <cell r="G11" t="str">
            <v>L</v>
          </cell>
          <cell r="H11">
            <v>0</v>
          </cell>
          <cell r="I11" t="str">
            <v>NA</v>
          </cell>
          <cell r="J11" t="str">
            <v>NA</v>
          </cell>
          <cell r="M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423</v>
          </cell>
          <cell r="AD11">
            <v>0</v>
          </cell>
          <cell r="AE11">
            <v>423</v>
          </cell>
          <cell r="AF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423</v>
          </cell>
          <cell r="AS11">
            <v>0</v>
          </cell>
          <cell r="AT11">
            <v>423</v>
          </cell>
          <cell r="BK11">
            <v>43251</v>
          </cell>
        </row>
        <row r="12">
          <cell r="A12">
            <v>6</v>
          </cell>
          <cell r="B12" t="str">
            <v>Subtotal</v>
          </cell>
          <cell r="C12">
            <v>1536.4856533333332</v>
          </cell>
          <cell r="M12">
            <v>373.51965333333317</v>
          </cell>
          <cell r="S12">
            <v>21</v>
          </cell>
          <cell r="T12">
            <v>76.08</v>
          </cell>
          <cell r="U12">
            <v>73.28</v>
          </cell>
          <cell r="V12">
            <v>76.58</v>
          </cell>
          <cell r="W12">
            <v>195.01333333333332</v>
          </cell>
          <cell r="X12">
            <v>209.41333333333333</v>
          </cell>
          <cell r="Y12">
            <v>148.71898666666667</v>
          </cell>
          <cell r="Z12">
            <v>79.58</v>
          </cell>
          <cell r="AA12">
            <v>73.28</v>
          </cell>
          <cell r="AB12">
            <v>60.28</v>
          </cell>
          <cell r="AC12">
            <v>462.98</v>
          </cell>
          <cell r="AD12">
            <v>60.28</v>
          </cell>
          <cell r="AE12">
            <v>1536.4856533333332</v>
          </cell>
        </row>
        <row r="14">
          <cell r="A14">
            <v>7</v>
          </cell>
          <cell r="B14" t="str">
            <v>Revenue Measures</v>
          </cell>
        </row>
        <row r="15">
          <cell r="A15">
            <v>8</v>
          </cell>
          <cell r="B15" t="str">
            <v>Extension of Act 154</v>
          </cell>
          <cell r="C15">
            <v>519</v>
          </cell>
          <cell r="D15" t="str">
            <v>Projections are not met</v>
          </cell>
          <cell r="E15" t="str">
            <v>None</v>
          </cell>
          <cell r="G15" t="str">
            <v>L</v>
          </cell>
          <cell r="H15">
            <v>0.05</v>
          </cell>
          <cell r="I15" t="str">
            <v>NA</v>
          </cell>
          <cell r="J15" t="str">
            <v>NA</v>
          </cell>
          <cell r="M15">
            <v>25.949999999999989</v>
          </cell>
          <cell r="P15">
            <v>6</v>
          </cell>
          <cell r="Q15" t="str">
            <v>NA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103</v>
          </cell>
          <cell r="AA15">
            <v>104</v>
          </cell>
          <cell r="AB15">
            <v>104</v>
          </cell>
          <cell r="AC15">
            <v>104</v>
          </cell>
          <cell r="AD15">
            <v>104</v>
          </cell>
          <cell r="AE15">
            <v>519</v>
          </cell>
          <cell r="AF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97.85</v>
          </cell>
          <cell r="AP15">
            <v>98.8</v>
          </cell>
          <cell r="AQ15">
            <v>98.8</v>
          </cell>
          <cell r="AR15">
            <v>98.8</v>
          </cell>
          <cell r="AS15">
            <v>98.8</v>
          </cell>
          <cell r="AT15">
            <v>493.05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1</v>
          </cell>
          <cell r="BE15">
            <v>2</v>
          </cell>
          <cell r="BF15">
            <v>3</v>
          </cell>
          <cell r="BG15">
            <v>4</v>
          </cell>
          <cell r="BH15">
            <v>5</v>
          </cell>
          <cell r="BK15">
            <v>43100</v>
          </cell>
        </row>
        <row r="16">
          <cell r="A16">
            <v>9</v>
          </cell>
          <cell r="B16" t="str">
            <v>Tax Compliance Improvement</v>
          </cell>
          <cell r="C16">
            <v>150</v>
          </cell>
          <cell r="D16" t="str">
            <v>Projections are not met</v>
          </cell>
          <cell r="E16" t="str">
            <v>Timing of measure is delayed by 3 months</v>
          </cell>
          <cell r="G16" t="str">
            <v>L</v>
          </cell>
          <cell r="H16">
            <v>0.05</v>
          </cell>
          <cell r="I16" t="str">
            <v>H</v>
          </cell>
          <cell r="J16">
            <v>1</v>
          </cell>
          <cell r="M16">
            <v>18.840000000000003</v>
          </cell>
          <cell r="P16">
            <v>6</v>
          </cell>
          <cell r="Q16">
            <v>3</v>
          </cell>
          <cell r="S16">
            <v>3.9789473684210526</v>
          </cell>
          <cell r="T16">
            <v>3.9789473684210526</v>
          </cell>
          <cell r="U16">
            <v>3.9789473684210526</v>
          </cell>
          <cell r="V16">
            <v>6.8210526315789473</v>
          </cell>
          <cell r="W16">
            <v>8.715789473684211</v>
          </cell>
          <cell r="X16">
            <v>20.347368421052632</v>
          </cell>
          <cell r="Y16">
            <v>17.242105263157896</v>
          </cell>
          <cell r="Z16">
            <v>15.347368421052632</v>
          </cell>
          <cell r="AA16">
            <v>14.5</v>
          </cell>
          <cell r="AB16">
            <v>19.5</v>
          </cell>
          <cell r="AC16">
            <v>14.794736842105264</v>
          </cell>
          <cell r="AD16">
            <v>20.794736842105266</v>
          </cell>
          <cell r="AE16">
            <v>150</v>
          </cell>
          <cell r="AF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6.4799999999999995</v>
          </cell>
          <cell r="AL16">
            <v>8.2799999999999994</v>
          </cell>
          <cell r="AM16">
            <v>19.329999999999998</v>
          </cell>
          <cell r="AN16">
            <v>16.38</v>
          </cell>
          <cell r="AO16">
            <v>14.58</v>
          </cell>
          <cell r="AP16">
            <v>13.774999999999999</v>
          </cell>
          <cell r="AQ16">
            <v>18.524999999999999</v>
          </cell>
          <cell r="AR16">
            <v>14.055</v>
          </cell>
          <cell r="AS16">
            <v>19.755000000000003</v>
          </cell>
          <cell r="AT16">
            <v>131.16</v>
          </cell>
          <cell r="AV16">
            <v>0</v>
          </cell>
          <cell r="AW16">
            <v>1</v>
          </cell>
          <cell r="AX16">
            <v>2</v>
          </cell>
          <cell r="AY16">
            <v>3</v>
          </cell>
          <cell r="AZ16">
            <v>4</v>
          </cell>
          <cell r="BA16">
            <v>5</v>
          </cell>
          <cell r="BB16">
            <v>6</v>
          </cell>
          <cell r="BC16">
            <v>7</v>
          </cell>
          <cell r="BD16">
            <v>8</v>
          </cell>
          <cell r="BE16">
            <v>9</v>
          </cell>
          <cell r="BF16">
            <v>10</v>
          </cell>
          <cell r="BG16">
            <v>11</v>
          </cell>
          <cell r="BH16">
            <v>12</v>
          </cell>
          <cell r="BK16" t="str">
            <v>2H18</v>
          </cell>
        </row>
        <row r="17">
          <cell r="A17">
            <v>10</v>
          </cell>
          <cell r="B17" t="str">
            <v>Additional Revenue Enhancements: Tobacco</v>
          </cell>
          <cell r="C17">
            <v>51.999999999999986</v>
          </cell>
          <cell r="D17" t="str">
            <v>Projections are not met</v>
          </cell>
          <cell r="E17" t="str">
            <v>Timing of measure is delayed by 3 months</v>
          </cell>
          <cell r="G17" t="str">
            <v>L</v>
          </cell>
          <cell r="H17">
            <v>0.05</v>
          </cell>
          <cell r="I17" t="str">
            <v>H</v>
          </cell>
          <cell r="J17">
            <v>1</v>
          </cell>
          <cell r="M17">
            <v>14.854999999999983</v>
          </cell>
          <cell r="P17">
            <v>10</v>
          </cell>
          <cell r="Q17">
            <v>3</v>
          </cell>
          <cell r="S17">
            <v>4.3</v>
          </cell>
          <cell r="T17">
            <v>4.3</v>
          </cell>
          <cell r="U17">
            <v>4.3</v>
          </cell>
          <cell r="V17">
            <v>4.3</v>
          </cell>
          <cell r="W17">
            <v>4.3</v>
          </cell>
          <cell r="X17">
            <v>4.4000000000000004</v>
          </cell>
          <cell r="Y17">
            <v>4.4000000000000004</v>
          </cell>
          <cell r="Z17">
            <v>4.4000000000000004</v>
          </cell>
          <cell r="AA17">
            <v>4.4000000000000004</v>
          </cell>
          <cell r="AB17">
            <v>4.3</v>
          </cell>
          <cell r="AC17">
            <v>4.3</v>
          </cell>
          <cell r="AD17">
            <v>4.3</v>
          </cell>
          <cell r="AE17">
            <v>51.999999999999986</v>
          </cell>
          <cell r="AF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4.085</v>
          </cell>
          <cell r="AL17">
            <v>4.085</v>
          </cell>
          <cell r="AM17">
            <v>4.18</v>
          </cell>
          <cell r="AN17">
            <v>4.18</v>
          </cell>
          <cell r="AO17">
            <v>4.18</v>
          </cell>
          <cell r="AP17">
            <v>4.18</v>
          </cell>
          <cell r="AQ17">
            <v>4.085</v>
          </cell>
          <cell r="AR17">
            <v>4.085</v>
          </cell>
          <cell r="AS17">
            <v>4.085</v>
          </cell>
          <cell r="AT17">
            <v>37.145000000000003</v>
          </cell>
          <cell r="AV17">
            <v>0</v>
          </cell>
          <cell r="AW17">
            <v>1</v>
          </cell>
          <cell r="AX17">
            <v>2</v>
          </cell>
          <cell r="AY17">
            <v>3</v>
          </cell>
          <cell r="AZ17">
            <v>4</v>
          </cell>
          <cell r="BA17">
            <v>5</v>
          </cell>
          <cell r="BB17">
            <v>6</v>
          </cell>
          <cell r="BC17">
            <v>7</v>
          </cell>
          <cell r="BD17">
            <v>8</v>
          </cell>
          <cell r="BE17">
            <v>9</v>
          </cell>
          <cell r="BF17">
            <v>10</v>
          </cell>
          <cell r="BG17">
            <v>11</v>
          </cell>
          <cell r="BH17">
            <v>12</v>
          </cell>
          <cell r="BK17" t="str">
            <v>Beginning 9/1/2017</v>
          </cell>
        </row>
        <row r="18">
          <cell r="A18">
            <v>11</v>
          </cell>
          <cell r="B18" t="str">
            <v>Additional Revenue Enhancements: CRIM</v>
          </cell>
          <cell r="C18">
            <v>38</v>
          </cell>
          <cell r="D18" t="str">
            <v>Projections are not met</v>
          </cell>
          <cell r="E18" t="str">
            <v>Timing of measure is delayed by 3 months</v>
          </cell>
          <cell r="G18" t="str">
            <v>L</v>
          </cell>
          <cell r="H18">
            <v>0.05</v>
          </cell>
          <cell r="I18" t="str">
            <v>H</v>
          </cell>
          <cell r="J18">
            <v>1</v>
          </cell>
          <cell r="M18">
            <v>38</v>
          </cell>
          <cell r="P18">
            <v>10</v>
          </cell>
          <cell r="Q18">
            <v>3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38</v>
          </cell>
          <cell r="AE18">
            <v>38</v>
          </cell>
          <cell r="AF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1</v>
          </cell>
          <cell r="BK18" t="str">
            <v>Beginning 9/1/2017</v>
          </cell>
        </row>
        <row r="19">
          <cell r="A19">
            <v>12</v>
          </cell>
          <cell r="B19" t="str">
            <v>Right-Rate Fees</v>
          </cell>
          <cell r="C19">
            <v>165</v>
          </cell>
          <cell r="D19" t="str">
            <v>Projections are not met</v>
          </cell>
          <cell r="E19" t="str">
            <v>Timing of measure is delayed by 3 months</v>
          </cell>
          <cell r="G19" t="str">
            <v>L</v>
          </cell>
          <cell r="H19">
            <v>0.05</v>
          </cell>
          <cell r="I19" t="str">
            <v>L</v>
          </cell>
          <cell r="J19">
            <v>0</v>
          </cell>
          <cell r="M19">
            <v>8.25</v>
          </cell>
          <cell r="P19">
            <v>10</v>
          </cell>
          <cell r="Q19">
            <v>3</v>
          </cell>
          <cell r="S19">
            <v>4.4210526315789478</v>
          </cell>
          <cell r="T19">
            <v>4.4210526315789478</v>
          </cell>
          <cell r="U19">
            <v>4.4210526315789478</v>
          </cell>
          <cell r="V19">
            <v>7.5789473684210531</v>
          </cell>
          <cell r="W19">
            <v>7.8842105263157904</v>
          </cell>
          <cell r="X19">
            <v>9.2526315789473692</v>
          </cell>
          <cell r="Y19">
            <v>9.4578947368421051</v>
          </cell>
          <cell r="Z19">
            <v>8.3526315789473689</v>
          </cell>
          <cell r="AA19">
            <v>23.3</v>
          </cell>
          <cell r="AB19">
            <v>8.3000000000000007</v>
          </cell>
          <cell r="AC19">
            <v>8.3052631578947373</v>
          </cell>
          <cell r="AD19">
            <v>69.305263157894743</v>
          </cell>
          <cell r="AE19">
            <v>165</v>
          </cell>
          <cell r="AF19">
            <v>0</v>
          </cell>
          <cell r="AH19">
            <v>4.2</v>
          </cell>
          <cell r="AI19">
            <v>4.2</v>
          </cell>
          <cell r="AJ19">
            <v>4.2</v>
          </cell>
          <cell r="AK19">
            <v>7.2</v>
          </cell>
          <cell r="AL19">
            <v>7.49</v>
          </cell>
          <cell r="AM19">
            <v>8.7900000000000009</v>
          </cell>
          <cell r="AN19">
            <v>8.9849999999999994</v>
          </cell>
          <cell r="AO19">
            <v>7.9349999999999996</v>
          </cell>
          <cell r="AP19">
            <v>22.134999999999998</v>
          </cell>
          <cell r="AQ19">
            <v>7.8850000000000007</v>
          </cell>
          <cell r="AR19">
            <v>7.89</v>
          </cell>
          <cell r="AS19">
            <v>65.84</v>
          </cell>
          <cell r="AT19">
            <v>156.75</v>
          </cell>
          <cell r="AV19">
            <v>0</v>
          </cell>
          <cell r="AW19">
            <v>1</v>
          </cell>
          <cell r="AX19">
            <v>2</v>
          </cell>
          <cell r="AY19">
            <v>3</v>
          </cell>
          <cell r="AZ19">
            <v>4</v>
          </cell>
          <cell r="BA19">
            <v>5</v>
          </cell>
          <cell r="BB19">
            <v>6</v>
          </cell>
          <cell r="BC19">
            <v>7</v>
          </cell>
          <cell r="BD19">
            <v>8</v>
          </cell>
          <cell r="BE19">
            <v>9</v>
          </cell>
          <cell r="BF19">
            <v>10</v>
          </cell>
          <cell r="BG19">
            <v>11</v>
          </cell>
          <cell r="BH19">
            <v>12</v>
          </cell>
          <cell r="BK19" t="str">
            <v>Beginning 9/1/2017</v>
          </cell>
        </row>
        <row r="20">
          <cell r="A20">
            <v>13</v>
          </cell>
          <cell r="B20" t="str">
            <v>Subtotal</v>
          </cell>
          <cell r="C20">
            <v>924</v>
          </cell>
          <cell r="M20">
            <v>105.89499999999998</v>
          </cell>
          <cell r="S20">
            <v>12.7</v>
          </cell>
          <cell r="T20">
            <v>12.7</v>
          </cell>
          <cell r="U20">
            <v>12.7</v>
          </cell>
          <cell r="V20">
            <v>18.700000000000003</v>
          </cell>
          <cell r="W20">
            <v>20.900000000000002</v>
          </cell>
          <cell r="X20">
            <v>34</v>
          </cell>
          <cell r="Y20">
            <v>31.1</v>
          </cell>
          <cell r="Z20">
            <v>131.10000000000002</v>
          </cell>
          <cell r="AA20">
            <v>146.20000000000002</v>
          </cell>
          <cell r="AB20">
            <v>136.1</v>
          </cell>
          <cell r="AC20">
            <v>131.4</v>
          </cell>
          <cell r="AD20">
            <v>236.40000000000003</v>
          </cell>
          <cell r="AE20">
            <v>924</v>
          </cell>
        </row>
        <row r="22">
          <cell r="A22">
            <v>14</v>
          </cell>
          <cell r="B22" t="str">
            <v>Expense Measures</v>
          </cell>
        </row>
        <row r="23">
          <cell r="A23">
            <v>15</v>
          </cell>
          <cell r="B23" t="str">
            <v>Personnel Related</v>
          </cell>
          <cell r="C23">
            <v>167</v>
          </cell>
          <cell r="D23" t="str">
            <v>Projections are not met</v>
          </cell>
          <cell r="E23" t="str">
            <v>Timing of measure is delayed by 3 months</v>
          </cell>
          <cell r="G23" t="str">
            <v>L</v>
          </cell>
          <cell r="H23">
            <v>0</v>
          </cell>
          <cell r="I23" t="str">
            <v>H</v>
          </cell>
          <cell r="J23">
            <v>1</v>
          </cell>
          <cell r="M23">
            <v>41.749999999999986</v>
          </cell>
          <cell r="P23">
            <v>12</v>
          </cell>
          <cell r="Q23">
            <v>3</v>
          </cell>
          <cell r="S23">
            <v>13.916666666666666</v>
          </cell>
          <cell r="T23">
            <v>13.916666666666666</v>
          </cell>
          <cell r="U23">
            <v>13.916666666666666</v>
          </cell>
          <cell r="V23">
            <v>13.916666666666666</v>
          </cell>
          <cell r="W23">
            <v>13.916666666666666</v>
          </cell>
          <cell r="X23">
            <v>13.916666666666666</v>
          </cell>
          <cell r="Y23">
            <v>13.916666666666666</v>
          </cell>
          <cell r="Z23">
            <v>13.916666666666666</v>
          </cell>
          <cell r="AA23">
            <v>13.916666666666666</v>
          </cell>
          <cell r="AB23">
            <v>13.916666666666666</v>
          </cell>
          <cell r="AC23">
            <v>13.916666666666666</v>
          </cell>
          <cell r="AD23">
            <v>13.916666666666666</v>
          </cell>
          <cell r="AE23">
            <v>167</v>
          </cell>
          <cell r="AF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13.916666666666666</v>
          </cell>
          <cell r="AL23">
            <v>13.916666666666666</v>
          </cell>
          <cell r="AM23">
            <v>13.916666666666666</v>
          </cell>
          <cell r="AN23">
            <v>13.916666666666666</v>
          </cell>
          <cell r="AO23">
            <v>13.916666666666666</v>
          </cell>
          <cell r="AP23">
            <v>13.916666666666666</v>
          </cell>
          <cell r="AQ23">
            <v>13.916666666666666</v>
          </cell>
          <cell r="AR23">
            <v>13.916666666666666</v>
          </cell>
          <cell r="AS23">
            <v>13.916666666666666</v>
          </cell>
          <cell r="AT23">
            <v>125.25000000000001</v>
          </cell>
          <cell r="AV23">
            <v>0</v>
          </cell>
          <cell r="AW23">
            <v>1</v>
          </cell>
          <cell r="AX23">
            <v>2</v>
          </cell>
          <cell r="AY23">
            <v>3</v>
          </cell>
          <cell r="AZ23">
            <v>4</v>
          </cell>
          <cell r="BA23">
            <v>5</v>
          </cell>
          <cell r="BB23">
            <v>6</v>
          </cell>
          <cell r="BC23">
            <v>7</v>
          </cell>
          <cell r="BD23">
            <v>8</v>
          </cell>
          <cell r="BE23">
            <v>9</v>
          </cell>
          <cell r="BF23">
            <v>10</v>
          </cell>
          <cell r="BG23">
            <v>11</v>
          </cell>
          <cell r="BH23">
            <v>12</v>
          </cell>
          <cell r="BK23" t="str">
            <v>Evenly distributed</v>
          </cell>
          <cell r="BL23" t="str">
            <v>Reduction in DOE transitory employees</v>
          </cell>
        </row>
        <row r="24">
          <cell r="A24">
            <v>16</v>
          </cell>
          <cell r="B24" t="str">
            <v>Non-Personnel Related</v>
          </cell>
          <cell r="C24">
            <v>179</v>
          </cell>
          <cell r="D24" t="str">
            <v>Projections are not met</v>
          </cell>
          <cell r="E24" t="str">
            <v>Timing of measure is delayed by 3 months</v>
          </cell>
          <cell r="G24" t="str">
            <v>L</v>
          </cell>
          <cell r="H24">
            <v>0</v>
          </cell>
          <cell r="I24" t="str">
            <v>H</v>
          </cell>
          <cell r="J24">
            <v>1</v>
          </cell>
          <cell r="M24">
            <v>44.749999999999972</v>
          </cell>
          <cell r="P24">
            <v>12</v>
          </cell>
          <cell r="Q24">
            <v>3</v>
          </cell>
          <cell r="S24">
            <v>14.916666666666666</v>
          </cell>
          <cell r="T24">
            <v>14.916666666666666</v>
          </cell>
          <cell r="U24">
            <v>14.916666666666666</v>
          </cell>
          <cell r="V24">
            <v>14.916666666666666</v>
          </cell>
          <cell r="W24">
            <v>14.916666666666666</v>
          </cell>
          <cell r="X24">
            <v>14.916666666666666</v>
          </cell>
          <cell r="Y24">
            <v>14.916666666666666</v>
          </cell>
          <cell r="Z24">
            <v>14.916666666666666</v>
          </cell>
          <cell r="AA24">
            <v>14.916666666666666</v>
          </cell>
          <cell r="AB24">
            <v>14.916666666666666</v>
          </cell>
          <cell r="AC24">
            <v>14.916666666666666</v>
          </cell>
          <cell r="AD24">
            <v>14.916666666666666</v>
          </cell>
          <cell r="AE24">
            <v>178.99999999999997</v>
          </cell>
          <cell r="AF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14.916666666666666</v>
          </cell>
          <cell r="AL24">
            <v>14.916666666666666</v>
          </cell>
          <cell r="AM24">
            <v>14.916666666666666</v>
          </cell>
          <cell r="AN24">
            <v>14.916666666666666</v>
          </cell>
          <cell r="AO24">
            <v>14.916666666666666</v>
          </cell>
          <cell r="AP24">
            <v>14.916666666666666</v>
          </cell>
          <cell r="AQ24">
            <v>14.916666666666666</v>
          </cell>
          <cell r="AR24">
            <v>14.916666666666666</v>
          </cell>
          <cell r="AS24">
            <v>14.916666666666666</v>
          </cell>
          <cell r="AT24">
            <v>134.25</v>
          </cell>
          <cell r="AV24">
            <v>0</v>
          </cell>
          <cell r="AW24">
            <v>1</v>
          </cell>
          <cell r="AX24">
            <v>2</v>
          </cell>
          <cell r="AY24">
            <v>3</v>
          </cell>
          <cell r="AZ24">
            <v>4</v>
          </cell>
          <cell r="BA24">
            <v>5</v>
          </cell>
          <cell r="BB24">
            <v>6</v>
          </cell>
          <cell r="BC24">
            <v>7</v>
          </cell>
          <cell r="BD24">
            <v>8</v>
          </cell>
          <cell r="BE24">
            <v>9</v>
          </cell>
          <cell r="BF24">
            <v>10</v>
          </cell>
          <cell r="BG24">
            <v>11</v>
          </cell>
          <cell r="BH24">
            <v>12</v>
          </cell>
          <cell r="BK24" t="str">
            <v>Evenly distributed</v>
          </cell>
        </row>
        <row r="25">
          <cell r="A25">
            <v>17</v>
          </cell>
          <cell r="B25" t="str">
            <v>Reduction of UPR subsidies</v>
          </cell>
          <cell r="C25">
            <v>201</v>
          </cell>
          <cell r="D25" t="str">
            <v>GPR is forced to backstop UPR deficit</v>
          </cell>
          <cell r="E25" t="str">
            <v>Event occurs 3 months into the fiscal year</v>
          </cell>
          <cell r="G25" t="str">
            <v>L</v>
          </cell>
          <cell r="H25">
            <v>0</v>
          </cell>
          <cell r="I25" t="str">
            <v>L</v>
          </cell>
          <cell r="J25">
            <v>0</v>
          </cell>
          <cell r="M25">
            <v>0</v>
          </cell>
          <cell r="P25">
            <v>12</v>
          </cell>
          <cell r="Q25">
            <v>3</v>
          </cell>
          <cell r="S25">
            <v>16.75</v>
          </cell>
          <cell r="T25">
            <v>16.75</v>
          </cell>
          <cell r="U25">
            <v>16.75</v>
          </cell>
          <cell r="V25">
            <v>16.75</v>
          </cell>
          <cell r="W25">
            <v>16.75</v>
          </cell>
          <cell r="X25">
            <v>16.75</v>
          </cell>
          <cell r="Y25">
            <v>16.75</v>
          </cell>
          <cell r="Z25">
            <v>16.75</v>
          </cell>
          <cell r="AA25">
            <v>16.75</v>
          </cell>
          <cell r="AB25">
            <v>16.75</v>
          </cell>
          <cell r="AC25">
            <v>16.75</v>
          </cell>
          <cell r="AD25">
            <v>16.75</v>
          </cell>
          <cell r="AE25">
            <v>201</v>
          </cell>
          <cell r="AF25">
            <v>0</v>
          </cell>
          <cell r="AH25">
            <v>16.75</v>
          </cell>
          <cell r="AI25">
            <v>16.75</v>
          </cell>
          <cell r="AJ25">
            <v>16.75</v>
          </cell>
          <cell r="AK25">
            <v>16.75</v>
          </cell>
          <cell r="AL25">
            <v>16.75</v>
          </cell>
          <cell r="AM25">
            <v>16.75</v>
          </cell>
          <cell r="AN25">
            <v>16.75</v>
          </cell>
          <cell r="AO25">
            <v>16.75</v>
          </cell>
          <cell r="AP25">
            <v>16.75</v>
          </cell>
          <cell r="AQ25">
            <v>16.75</v>
          </cell>
          <cell r="AR25">
            <v>16.75</v>
          </cell>
          <cell r="AS25">
            <v>16.75</v>
          </cell>
          <cell r="AT25">
            <v>201</v>
          </cell>
          <cell r="AV25">
            <v>0</v>
          </cell>
          <cell r="AW25">
            <v>1</v>
          </cell>
          <cell r="AX25">
            <v>2</v>
          </cell>
          <cell r="AY25">
            <v>3</v>
          </cell>
          <cell r="AZ25">
            <v>4</v>
          </cell>
          <cell r="BA25">
            <v>5</v>
          </cell>
          <cell r="BB25">
            <v>6</v>
          </cell>
          <cell r="BC25">
            <v>7</v>
          </cell>
          <cell r="BD25">
            <v>8</v>
          </cell>
          <cell r="BE25">
            <v>9</v>
          </cell>
          <cell r="BF25">
            <v>10</v>
          </cell>
          <cell r="BG25">
            <v>11</v>
          </cell>
          <cell r="BH25">
            <v>12</v>
          </cell>
          <cell r="BK25" t="str">
            <v>Evenly distributed</v>
          </cell>
        </row>
        <row r="26">
          <cell r="A26">
            <v>18</v>
          </cell>
          <cell r="B26" t="str">
            <v>Reduction of CRIM subisides</v>
          </cell>
          <cell r="C26">
            <v>175</v>
          </cell>
          <cell r="D26" t="str">
            <v>GPR is forced to backstop municipalities deficits</v>
          </cell>
          <cell r="E26" t="str">
            <v>Event occurs 3 months into the fiscal year</v>
          </cell>
          <cell r="G26" t="str">
            <v>M</v>
          </cell>
          <cell r="H26">
            <v>0.5</v>
          </cell>
          <cell r="I26" t="str">
            <v>M</v>
          </cell>
          <cell r="J26">
            <v>0.5</v>
          </cell>
          <cell r="M26">
            <v>98.437500000000028</v>
          </cell>
          <cell r="P26">
            <v>12</v>
          </cell>
          <cell r="Q26">
            <v>3</v>
          </cell>
          <cell r="S26">
            <v>14.583333333333334</v>
          </cell>
          <cell r="T26">
            <v>14.583333333333334</v>
          </cell>
          <cell r="U26">
            <v>14.583333333333334</v>
          </cell>
          <cell r="V26">
            <v>14.583333333333334</v>
          </cell>
          <cell r="W26">
            <v>14.583333333333334</v>
          </cell>
          <cell r="X26">
            <v>14.583333333333334</v>
          </cell>
          <cell r="Y26">
            <v>14.583333333333334</v>
          </cell>
          <cell r="Z26">
            <v>14.583333333333334</v>
          </cell>
          <cell r="AA26">
            <v>14.583333333333334</v>
          </cell>
          <cell r="AB26">
            <v>14.583333333333334</v>
          </cell>
          <cell r="AC26">
            <v>14.583333333333334</v>
          </cell>
          <cell r="AD26">
            <v>14.583333333333334</v>
          </cell>
          <cell r="AE26">
            <v>175.00000000000003</v>
          </cell>
          <cell r="AF26">
            <v>0</v>
          </cell>
          <cell r="AH26">
            <v>14.583333333333334</v>
          </cell>
          <cell r="AI26">
            <v>14.583333333333334</v>
          </cell>
          <cell r="AJ26">
            <v>14.583333333333334</v>
          </cell>
          <cell r="AK26">
            <v>3.6458333333333335</v>
          </cell>
          <cell r="AL26">
            <v>3.6458333333333335</v>
          </cell>
          <cell r="AM26">
            <v>3.6458333333333335</v>
          </cell>
          <cell r="AN26">
            <v>3.6458333333333335</v>
          </cell>
          <cell r="AO26">
            <v>3.6458333333333335</v>
          </cell>
          <cell r="AP26">
            <v>3.6458333333333335</v>
          </cell>
          <cell r="AQ26">
            <v>3.6458333333333335</v>
          </cell>
          <cell r="AR26">
            <v>3.6458333333333335</v>
          </cell>
          <cell r="AS26">
            <v>3.6458333333333335</v>
          </cell>
          <cell r="AT26">
            <v>76.5625</v>
          </cell>
          <cell r="AV26">
            <v>0</v>
          </cell>
          <cell r="AW26">
            <v>1</v>
          </cell>
          <cell r="AX26">
            <v>2</v>
          </cell>
          <cell r="AY26">
            <v>3</v>
          </cell>
          <cell r="AZ26">
            <v>4</v>
          </cell>
          <cell r="BA26">
            <v>5</v>
          </cell>
          <cell r="BB26">
            <v>6</v>
          </cell>
          <cell r="BC26">
            <v>7</v>
          </cell>
          <cell r="BD26">
            <v>8</v>
          </cell>
          <cell r="BE26">
            <v>9</v>
          </cell>
          <cell r="BF26">
            <v>10</v>
          </cell>
          <cell r="BG26">
            <v>11</v>
          </cell>
          <cell r="BH26">
            <v>12</v>
          </cell>
          <cell r="BK26" t="str">
            <v>Evenly distributed</v>
          </cell>
        </row>
        <row r="27">
          <cell r="A27">
            <v>19</v>
          </cell>
          <cell r="B27" t="str">
            <v>Reduction of Other Subsidies</v>
          </cell>
          <cell r="C27">
            <v>35</v>
          </cell>
          <cell r="D27" t="str">
            <v>None</v>
          </cell>
          <cell r="E27" t="str">
            <v>Timing of measure is delayed by 3 months</v>
          </cell>
          <cell r="G27" t="str">
            <v>L</v>
          </cell>
          <cell r="H27">
            <v>0</v>
          </cell>
          <cell r="I27" t="str">
            <v>L</v>
          </cell>
          <cell r="J27">
            <v>0</v>
          </cell>
          <cell r="M27">
            <v>0</v>
          </cell>
          <cell r="P27">
            <v>12</v>
          </cell>
          <cell r="Q27">
            <v>3</v>
          </cell>
          <cell r="S27">
            <v>2.9166666666666665</v>
          </cell>
          <cell r="T27">
            <v>2.9166666666666665</v>
          </cell>
          <cell r="U27">
            <v>2.9166666666666665</v>
          </cell>
          <cell r="V27">
            <v>2.9166666666666665</v>
          </cell>
          <cell r="W27">
            <v>2.9166666666666665</v>
          </cell>
          <cell r="X27">
            <v>2.9166666666666665</v>
          </cell>
          <cell r="Y27">
            <v>2.9166666666666665</v>
          </cell>
          <cell r="Z27">
            <v>2.9166666666666665</v>
          </cell>
          <cell r="AA27">
            <v>2.9166666666666665</v>
          </cell>
          <cell r="AB27">
            <v>2.9166666666666665</v>
          </cell>
          <cell r="AC27">
            <v>2.9166666666666665</v>
          </cell>
          <cell r="AD27">
            <v>2.9166666666666665</v>
          </cell>
          <cell r="AE27">
            <v>35</v>
          </cell>
          <cell r="AF27">
            <v>0</v>
          </cell>
          <cell r="AH27">
            <v>2.9166666666666665</v>
          </cell>
          <cell r="AI27">
            <v>2.9166666666666665</v>
          </cell>
          <cell r="AJ27">
            <v>2.9166666666666665</v>
          </cell>
          <cell r="AK27">
            <v>2.9166666666666665</v>
          </cell>
          <cell r="AL27">
            <v>2.9166666666666665</v>
          </cell>
          <cell r="AM27">
            <v>2.9166666666666665</v>
          </cell>
          <cell r="AN27">
            <v>2.9166666666666665</v>
          </cell>
          <cell r="AO27">
            <v>2.9166666666666665</v>
          </cell>
          <cell r="AP27">
            <v>2.9166666666666665</v>
          </cell>
          <cell r="AQ27">
            <v>2.9166666666666665</v>
          </cell>
          <cell r="AR27">
            <v>2.9166666666666665</v>
          </cell>
          <cell r="AS27">
            <v>2.9166666666666665</v>
          </cell>
          <cell r="AT27">
            <v>35</v>
          </cell>
          <cell r="AV27">
            <v>0</v>
          </cell>
          <cell r="AW27">
            <v>1</v>
          </cell>
          <cell r="AX27">
            <v>2</v>
          </cell>
          <cell r="AY27">
            <v>3</v>
          </cell>
          <cell r="AZ27">
            <v>4</v>
          </cell>
          <cell r="BA27">
            <v>5</v>
          </cell>
          <cell r="BB27">
            <v>6</v>
          </cell>
          <cell r="BC27">
            <v>7</v>
          </cell>
          <cell r="BD27">
            <v>8</v>
          </cell>
          <cell r="BE27">
            <v>9</v>
          </cell>
          <cell r="BF27">
            <v>10</v>
          </cell>
          <cell r="BG27">
            <v>11</v>
          </cell>
          <cell r="BH27">
            <v>12</v>
          </cell>
          <cell r="BK27" t="str">
            <v>Evenly distributed</v>
          </cell>
        </row>
        <row r="28">
          <cell r="A28">
            <v>20</v>
          </cell>
          <cell r="B28" t="str">
            <v>Healthcare Spending Reductions</v>
          </cell>
          <cell r="C28">
            <v>100</v>
          </cell>
          <cell r="D28" t="str">
            <v>Projections are not met</v>
          </cell>
          <cell r="E28" t="str">
            <v>Timing of measure is delayed by 3 months</v>
          </cell>
          <cell r="G28" t="str">
            <v>L</v>
          </cell>
          <cell r="H28">
            <v>0</v>
          </cell>
          <cell r="I28" t="str">
            <v>H</v>
          </cell>
          <cell r="J28">
            <v>1</v>
          </cell>
          <cell r="M28">
            <v>24.999999999999986</v>
          </cell>
          <cell r="P28">
            <v>12</v>
          </cell>
          <cell r="Q28">
            <v>3</v>
          </cell>
          <cell r="S28">
            <v>8.3333333333333339</v>
          </cell>
          <cell r="T28">
            <v>8.3333333333333339</v>
          </cell>
          <cell r="U28">
            <v>8.3333333333333339</v>
          </cell>
          <cell r="V28">
            <v>8.3333333333333339</v>
          </cell>
          <cell r="W28">
            <v>8.3333333333333339</v>
          </cell>
          <cell r="X28">
            <v>8.3333333333333339</v>
          </cell>
          <cell r="Y28">
            <v>8.3333333333333339</v>
          </cell>
          <cell r="Z28">
            <v>8.3333333333333339</v>
          </cell>
          <cell r="AA28">
            <v>8.3333333333333339</v>
          </cell>
          <cell r="AB28">
            <v>8.3333333333333339</v>
          </cell>
          <cell r="AC28">
            <v>8.3333333333333339</v>
          </cell>
          <cell r="AD28">
            <v>8.3333333333333339</v>
          </cell>
          <cell r="AE28">
            <v>99.999999999999986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8.3333333333333339</v>
          </cell>
          <cell r="AL28">
            <v>8.3333333333333339</v>
          </cell>
          <cell r="AM28">
            <v>8.3333333333333339</v>
          </cell>
          <cell r="AN28">
            <v>8.3333333333333339</v>
          </cell>
          <cell r="AO28">
            <v>8.3333333333333339</v>
          </cell>
          <cell r="AP28">
            <v>8.3333333333333339</v>
          </cell>
          <cell r="AQ28">
            <v>8.3333333333333339</v>
          </cell>
          <cell r="AR28">
            <v>8.3333333333333339</v>
          </cell>
          <cell r="AS28">
            <v>8.3333333333333339</v>
          </cell>
          <cell r="AT28">
            <v>75</v>
          </cell>
          <cell r="AW28">
            <v>1</v>
          </cell>
          <cell r="AX28">
            <v>2</v>
          </cell>
          <cell r="AY28">
            <v>3</v>
          </cell>
          <cell r="AZ28">
            <v>4</v>
          </cell>
          <cell r="BA28">
            <v>5</v>
          </cell>
          <cell r="BB28">
            <v>6</v>
          </cell>
          <cell r="BC28">
            <v>7</v>
          </cell>
          <cell r="BD28">
            <v>8</v>
          </cell>
          <cell r="BE28">
            <v>9</v>
          </cell>
          <cell r="BF28">
            <v>10</v>
          </cell>
          <cell r="BG28">
            <v>11</v>
          </cell>
          <cell r="BH28">
            <v>12</v>
          </cell>
          <cell r="BK28" t="str">
            <v>Evenly distributed</v>
          </cell>
        </row>
        <row r="29">
          <cell r="A29">
            <v>21</v>
          </cell>
          <cell r="B29" t="str">
            <v>Other Expense Measures</v>
          </cell>
          <cell r="C29">
            <v>45</v>
          </cell>
          <cell r="D29" t="str">
            <v>Projections are not met</v>
          </cell>
          <cell r="E29" t="str">
            <v>Timing of measure is delayed by 3 months</v>
          </cell>
          <cell r="G29" t="str">
            <v>L</v>
          </cell>
          <cell r="H29">
            <v>0</v>
          </cell>
          <cell r="I29" t="str">
            <v>H</v>
          </cell>
          <cell r="J29">
            <v>1</v>
          </cell>
          <cell r="M29">
            <v>11.25</v>
          </cell>
          <cell r="P29">
            <v>12</v>
          </cell>
          <cell r="Q29">
            <v>3</v>
          </cell>
          <cell r="S29">
            <v>3.75</v>
          </cell>
          <cell r="T29">
            <v>3.75</v>
          </cell>
          <cell r="U29">
            <v>3.75</v>
          </cell>
          <cell r="V29">
            <v>3.75</v>
          </cell>
          <cell r="W29">
            <v>3.75</v>
          </cell>
          <cell r="X29">
            <v>3.75</v>
          </cell>
          <cell r="Y29">
            <v>3.75</v>
          </cell>
          <cell r="Z29">
            <v>3.75</v>
          </cell>
          <cell r="AA29">
            <v>3.75</v>
          </cell>
          <cell r="AB29">
            <v>3.75</v>
          </cell>
          <cell r="AC29">
            <v>3.75</v>
          </cell>
          <cell r="AD29">
            <v>3.75</v>
          </cell>
          <cell r="AE29">
            <v>45</v>
          </cell>
          <cell r="AF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3.75</v>
          </cell>
          <cell r="AL29">
            <v>3.75</v>
          </cell>
          <cell r="AM29">
            <v>3.75</v>
          </cell>
          <cell r="AN29">
            <v>3.75</v>
          </cell>
          <cell r="AO29">
            <v>3.75</v>
          </cell>
          <cell r="AP29">
            <v>3.75</v>
          </cell>
          <cell r="AQ29">
            <v>3.75</v>
          </cell>
          <cell r="AR29">
            <v>3.75</v>
          </cell>
          <cell r="AS29">
            <v>3.75</v>
          </cell>
          <cell r="AT29">
            <v>33.75</v>
          </cell>
          <cell r="AV29">
            <v>0</v>
          </cell>
          <cell r="AW29">
            <v>1</v>
          </cell>
          <cell r="AX29">
            <v>2</v>
          </cell>
          <cell r="AY29">
            <v>3</v>
          </cell>
          <cell r="AZ29">
            <v>4</v>
          </cell>
          <cell r="BA29">
            <v>5</v>
          </cell>
          <cell r="BB29">
            <v>6</v>
          </cell>
          <cell r="BC29">
            <v>7</v>
          </cell>
          <cell r="BD29">
            <v>8</v>
          </cell>
          <cell r="BE29">
            <v>9</v>
          </cell>
          <cell r="BF29">
            <v>10</v>
          </cell>
          <cell r="BG29">
            <v>11</v>
          </cell>
          <cell r="BH29">
            <v>12</v>
          </cell>
          <cell r="BK29" t="str">
            <v>Evenly distributed</v>
          </cell>
        </row>
        <row r="30">
          <cell r="A30">
            <v>22</v>
          </cell>
          <cell r="B30" t="str">
            <v>Payroll and operational Expense Freeze</v>
          </cell>
          <cell r="C30">
            <v>49</v>
          </cell>
          <cell r="D30" t="str">
            <v>None</v>
          </cell>
          <cell r="E30" t="str">
            <v>None</v>
          </cell>
          <cell r="G30" t="str">
            <v>M</v>
          </cell>
          <cell r="I30" t="str">
            <v>M</v>
          </cell>
          <cell r="P30">
            <v>12</v>
          </cell>
          <cell r="Q30">
            <v>3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-49</v>
          </cell>
          <cell r="BJ30" t="str">
            <v>Evenly distributed</v>
          </cell>
          <cell r="BK30" t="str">
            <v>$45mm non-cash expense freeze</v>
          </cell>
        </row>
        <row r="31">
          <cell r="A31">
            <v>23</v>
          </cell>
          <cell r="B31" t="str">
            <v>Subtotal</v>
          </cell>
          <cell r="C31">
            <v>951</v>
          </cell>
          <cell r="M31">
            <v>221.1875</v>
          </cell>
          <cell r="S31">
            <v>75.166666666666657</v>
          </cell>
          <cell r="T31">
            <v>75.166666666666657</v>
          </cell>
          <cell r="U31">
            <v>75.166666666666657</v>
          </cell>
          <cell r="V31">
            <v>75.166666666666657</v>
          </cell>
          <cell r="W31">
            <v>75.166666666666657</v>
          </cell>
          <cell r="X31">
            <v>75.166666666666657</v>
          </cell>
          <cell r="Y31">
            <v>75.166666666666657</v>
          </cell>
          <cell r="Z31">
            <v>75.166666666666657</v>
          </cell>
          <cell r="AA31">
            <v>75.166666666666657</v>
          </cell>
          <cell r="AB31">
            <v>75.166666666666657</v>
          </cell>
          <cell r="AC31">
            <v>75.166666666666657</v>
          </cell>
          <cell r="AD31">
            <v>75.166666666666657</v>
          </cell>
          <cell r="AE31">
            <v>902</v>
          </cell>
        </row>
        <row r="33">
          <cell r="A33">
            <v>24</v>
          </cell>
          <cell r="B33" t="str">
            <v>Total Measure/Cliff Impact</v>
          </cell>
          <cell r="C33">
            <v>3411.4856533333332</v>
          </cell>
          <cell r="M33">
            <v>700.60215333333315</v>
          </cell>
          <cell r="S33">
            <v>87.86666666666666</v>
          </cell>
          <cell r="T33">
            <v>87.86666666666666</v>
          </cell>
          <cell r="U33">
            <v>87.86666666666666</v>
          </cell>
          <cell r="V33">
            <v>93.86666666666666</v>
          </cell>
          <cell r="W33">
            <v>96.066666666666663</v>
          </cell>
          <cell r="X33">
            <v>109.16666666666666</v>
          </cell>
          <cell r="Y33">
            <v>106.26666666666665</v>
          </cell>
          <cell r="Z33">
            <v>206.26666666666668</v>
          </cell>
          <cell r="AA33">
            <v>221.36666666666667</v>
          </cell>
          <cell r="AB33">
            <v>211.26666666666665</v>
          </cell>
          <cell r="AC33">
            <v>206.56666666666666</v>
          </cell>
          <cell r="AD33">
            <v>311.56666666666672</v>
          </cell>
          <cell r="AE33">
            <v>1826</v>
          </cell>
        </row>
        <row r="35">
          <cell r="B35" t="str">
            <v>Footnotes:</v>
          </cell>
        </row>
        <row r="36">
          <cell r="B36" t="str">
            <v>(a) Based on risk analysis prepared by AAFAF and Conway MacKenzie</v>
          </cell>
          <cell r="M36">
            <v>0</v>
          </cell>
        </row>
        <row r="37"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117.33333333333331</v>
          </cell>
          <cell r="X37">
            <v>132.13333333333333</v>
          </cell>
          <cell r="Y37">
            <v>66.938986666666665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316.4056533333333</v>
          </cell>
        </row>
        <row r="38">
          <cell r="S38">
            <v>0</v>
          </cell>
          <cell r="T38">
            <v>0</v>
          </cell>
          <cell r="U38">
            <v>0</v>
          </cell>
          <cell r="V38">
            <v>2.0999999999999979</v>
          </cell>
          <cell r="W38">
            <v>2.0999999999999979</v>
          </cell>
          <cell r="X38">
            <v>2.0999999999999979</v>
          </cell>
          <cell r="Y38">
            <v>2.0999999999999979</v>
          </cell>
          <cell r="Z38">
            <v>2.0999999999999979</v>
          </cell>
          <cell r="AA38">
            <v>2.0999999999999979</v>
          </cell>
          <cell r="AB38">
            <v>2.0999999999999979</v>
          </cell>
          <cell r="AC38">
            <v>2.0999999999999979</v>
          </cell>
          <cell r="AD38">
            <v>2.0999999999999979</v>
          </cell>
          <cell r="AE38">
            <v>18.899999999999981</v>
          </cell>
        </row>
        <row r="39"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5.6679999999999993</v>
          </cell>
          <cell r="X39">
            <v>5.6280000000000001</v>
          </cell>
          <cell r="Y39">
            <v>6.0779999999999959</v>
          </cell>
          <cell r="Z39">
            <v>5.857999999999997</v>
          </cell>
          <cell r="AA39">
            <v>5.2280000000000015</v>
          </cell>
          <cell r="AB39">
            <v>3.9279999999999973</v>
          </cell>
          <cell r="AC39">
            <v>1.8979999999999997</v>
          </cell>
          <cell r="AD39">
            <v>3.9279999999999973</v>
          </cell>
          <cell r="AE39">
            <v>38.213999999999984</v>
          </cell>
        </row>
        <row r="40"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R41" t="str">
            <v>Legal</v>
          </cell>
          <cell r="S41">
            <v>0</v>
          </cell>
          <cell r="T41">
            <v>0</v>
          </cell>
          <cell r="U41">
            <v>0</v>
          </cell>
          <cell r="V41">
            <v>2.0999999999999979</v>
          </cell>
          <cell r="W41">
            <v>125.10133333333332</v>
          </cell>
          <cell r="X41">
            <v>139.86133333333333</v>
          </cell>
          <cell r="Y41">
            <v>75.116986666666662</v>
          </cell>
          <cell r="Z41">
            <v>7.9579999999999949</v>
          </cell>
          <cell r="AA41">
            <v>7.3279999999999994</v>
          </cell>
          <cell r="AB41">
            <v>6.0279999999999951</v>
          </cell>
          <cell r="AC41">
            <v>3.9979999999999976</v>
          </cell>
          <cell r="AD41">
            <v>6.0279999999999951</v>
          </cell>
          <cell r="AE41">
            <v>373.51965333333328</v>
          </cell>
        </row>
        <row r="44"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5.1500000000000057</v>
          </cell>
          <cell r="AA44">
            <v>5.2000000000000028</v>
          </cell>
          <cell r="AB44">
            <v>5.2000000000000028</v>
          </cell>
          <cell r="AC44">
            <v>5.2000000000000028</v>
          </cell>
          <cell r="AD44">
            <v>5.2000000000000028</v>
          </cell>
          <cell r="AE44">
            <v>25.950000000000017</v>
          </cell>
        </row>
        <row r="45">
          <cell r="S45">
            <v>3.9789473684210526</v>
          </cell>
          <cell r="T45">
            <v>3.9789473684210526</v>
          </cell>
          <cell r="U45">
            <v>3.9789473684210526</v>
          </cell>
          <cell r="V45">
            <v>0.34105263157894772</v>
          </cell>
          <cell r="W45">
            <v>0.43578947368421161</v>
          </cell>
          <cell r="X45">
            <v>1.0173684210526339</v>
          </cell>
          <cell r="Y45">
            <v>0.86210526315789693</v>
          </cell>
          <cell r="Z45">
            <v>0.76736842105263214</v>
          </cell>
          <cell r="AA45">
            <v>0.72500000000000142</v>
          </cell>
          <cell r="AB45">
            <v>0.97500000000000142</v>
          </cell>
          <cell r="AC45">
            <v>0.73973684210526436</v>
          </cell>
          <cell r="AD45">
            <v>1.0397368421052633</v>
          </cell>
          <cell r="AE45">
            <v>18.840000000000011</v>
          </cell>
        </row>
        <row r="46">
          <cell r="S46">
            <v>4.3</v>
          </cell>
          <cell r="T46">
            <v>4.3</v>
          </cell>
          <cell r="U46">
            <v>4.3</v>
          </cell>
          <cell r="V46">
            <v>0.21499999999999986</v>
          </cell>
          <cell r="W46">
            <v>0.21499999999999986</v>
          </cell>
          <cell r="X46">
            <v>0.22000000000000064</v>
          </cell>
          <cell r="Y46">
            <v>0.22000000000000064</v>
          </cell>
          <cell r="Z46">
            <v>0.22000000000000064</v>
          </cell>
          <cell r="AA46">
            <v>0.22000000000000064</v>
          </cell>
          <cell r="AB46">
            <v>0.21499999999999986</v>
          </cell>
          <cell r="AC46">
            <v>0.21499999999999986</v>
          </cell>
          <cell r="AD46">
            <v>0.21499999999999986</v>
          </cell>
          <cell r="AE46">
            <v>14.855</v>
          </cell>
        </row>
        <row r="47"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38</v>
          </cell>
          <cell r="AE47">
            <v>38</v>
          </cell>
        </row>
        <row r="48">
          <cell r="S48">
            <v>0.22105263157894761</v>
          </cell>
          <cell r="T48">
            <v>0.22105263157894761</v>
          </cell>
          <cell r="U48">
            <v>0.22105263157894761</v>
          </cell>
          <cell r="V48">
            <v>0.37894736842105292</v>
          </cell>
          <cell r="W48">
            <v>0.39421052631579023</v>
          </cell>
          <cell r="X48">
            <v>0.46263157894736828</v>
          </cell>
          <cell r="Y48">
            <v>0.4728947368421057</v>
          </cell>
          <cell r="Z48">
            <v>0.41763157894736924</v>
          </cell>
          <cell r="AA48">
            <v>1.1650000000000027</v>
          </cell>
          <cell r="AB48">
            <v>0.41500000000000004</v>
          </cell>
          <cell r="AC48">
            <v>0.41526315789473767</v>
          </cell>
          <cell r="AD48">
            <v>3.4652631578947393</v>
          </cell>
          <cell r="AE48">
            <v>8.2500000000000089</v>
          </cell>
        </row>
        <row r="49">
          <cell r="R49" t="str">
            <v>Revenue Measures</v>
          </cell>
          <cell r="S49">
            <v>8.5</v>
          </cell>
          <cell r="T49">
            <v>8.5</v>
          </cell>
          <cell r="U49">
            <v>8.5</v>
          </cell>
          <cell r="V49">
            <v>0.9350000000000005</v>
          </cell>
          <cell r="W49">
            <v>1.0450000000000017</v>
          </cell>
          <cell r="X49">
            <v>1.7000000000000028</v>
          </cell>
          <cell r="Y49">
            <v>1.5550000000000033</v>
          </cell>
          <cell r="Z49">
            <v>6.5550000000000077</v>
          </cell>
          <cell r="AA49">
            <v>7.3100000000000076</v>
          </cell>
          <cell r="AB49">
            <v>6.8050000000000042</v>
          </cell>
          <cell r="AC49">
            <v>6.5700000000000047</v>
          </cell>
          <cell r="AD49">
            <v>47.92</v>
          </cell>
          <cell r="AE49">
            <v>105.89500000000004</v>
          </cell>
        </row>
        <row r="52">
          <cell r="S52">
            <v>13.916666666666666</v>
          </cell>
          <cell r="T52">
            <v>13.916666666666666</v>
          </cell>
          <cell r="U52">
            <v>13.916666666666666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41.75</v>
          </cell>
        </row>
        <row r="53">
          <cell r="S53">
            <v>14.916666666666666</v>
          </cell>
          <cell r="T53">
            <v>14.916666666666666</v>
          </cell>
          <cell r="U53">
            <v>14.916666666666666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44.75</v>
          </cell>
        </row>
        <row r="54"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S55">
            <v>0</v>
          </cell>
          <cell r="T55">
            <v>0</v>
          </cell>
          <cell r="U55">
            <v>0</v>
          </cell>
          <cell r="V55">
            <v>10.9375</v>
          </cell>
          <cell r="W55">
            <v>10.9375</v>
          </cell>
          <cell r="X55">
            <v>10.9375</v>
          </cell>
          <cell r="Y55">
            <v>10.9375</v>
          </cell>
          <cell r="Z55">
            <v>10.9375</v>
          </cell>
          <cell r="AA55">
            <v>10.9375</v>
          </cell>
          <cell r="AB55">
            <v>10.9375</v>
          </cell>
          <cell r="AC55">
            <v>10.9375</v>
          </cell>
          <cell r="AD55">
            <v>10.9375</v>
          </cell>
          <cell r="AE55">
            <v>98.4375</v>
          </cell>
        </row>
        <row r="56"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S57">
            <v>8.3333333333333339</v>
          </cell>
          <cell r="T57">
            <v>8.3333333333333339</v>
          </cell>
          <cell r="U57">
            <v>8.3333333333333339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25</v>
          </cell>
        </row>
        <row r="58">
          <cell r="S58">
            <v>3.75</v>
          </cell>
          <cell r="T58">
            <v>3.75</v>
          </cell>
          <cell r="U58">
            <v>3.75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11.25</v>
          </cell>
        </row>
        <row r="59"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</row>
        <row r="60">
          <cell r="R60" t="str">
            <v>Expense Measures</v>
          </cell>
          <cell r="S60">
            <v>40.916666666666664</v>
          </cell>
          <cell r="T60">
            <v>40.916666666666664</v>
          </cell>
          <cell r="U60">
            <v>40.916666666666664</v>
          </cell>
          <cell r="V60">
            <v>10.9375</v>
          </cell>
          <cell r="W60">
            <v>10.9375</v>
          </cell>
          <cell r="X60">
            <v>10.9375</v>
          </cell>
          <cell r="Y60">
            <v>10.9375</v>
          </cell>
          <cell r="Z60">
            <v>10.9375</v>
          </cell>
          <cell r="AA60">
            <v>10.9375</v>
          </cell>
          <cell r="AB60">
            <v>10.9375</v>
          </cell>
          <cell r="AC60">
            <v>10.9375</v>
          </cell>
          <cell r="AD60">
            <v>10.9375</v>
          </cell>
          <cell r="AE60">
            <v>221.1875</v>
          </cell>
        </row>
        <row r="62">
          <cell r="S62">
            <v>49.416666666666664</v>
          </cell>
          <cell r="T62">
            <v>49.416666666666664</v>
          </cell>
          <cell r="U62">
            <v>49.416666666666664</v>
          </cell>
          <cell r="V62">
            <v>13.972499999999998</v>
          </cell>
          <cell r="W62">
            <v>137.0838333333333</v>
          </cell>
          <cell r="X62">
            <v>152.49883333333332</v>
          </cell>
          <cell r="Y62">
            <v>87.609486666666669</v>
          </cell>
          <cell r="Z62">
            <v>25.450500000000002</v>
          </cell>
          <cell r="AA62">
            <v>25.575500000000005</v>
          </cell>
          <cell r="AB62">
            <v>23.770499999999998</v>
          </cell>
          <cell r="AC62">
            <v>21.505500000000001</v>
          </cell>
          <cell r="AD62">
            <v>64.885499999999993</v>
          </cell>
          <cell r="AE62">
            <v>700.60215333333326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arative Trial Balance"/>
      <sheetName val="Sheet1"/>
      <sheetName val="Variables"/>
      <sheetName val="Income_Statement"/>
      <sheetName val="Comparative_Trial_Balance"/>
      <sheetName val="Income_Statement1"/>
      <sheetName val="Comparative_Trial_Balance1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TERNAL&gt;&gt;"/>
      <sheetName val="Series monthly schedule"/>
      <sheetName val="GO monthly schedule"/>
      <sheetName val="COFINA monthly schedule"/>
      <sheetName val="PBA monthly schedule"/>
      <sheetName val="HTA monthly schedule"/>
      <sheetName val="GDB monthly schedule"/>
      <sheetName val="PRIFA monthly schedule"/>
      <sheetName val="CCDA monthly schedule"/>
      <sheetName val="PFC monthly schedule"/>
      <sheetName val="UPR monthly schedule"/>
      <sheetName val="ERS monthly schedule"/>
      <sheetName val="PRIDCO monthly schedule"/>
      <sheetName val="Proposal"/>
      <sheetName val="Guaranteed Debt"/>
      <sheetName val="PRASA Balances"/>
      <sheetName val="PRASA P+I"/>
      <sheetName val="COFINA (1)"/>
      <sheetName val="COFINA (2)"/>
      <sheetName val="CTF"/>
      <sheetName val="CTF1"/>
      <sheetName val="HFA"/>
      <sheetName val="HFA1"/>
      <sheetName val="HFA2"/>
      <sheetName val="PREPA1"/>
      <sheetName val="PRASA1"/>
      <sheetName val="OUTPUT&gt;&gt;"/>
      <sheetName val="DS Schedule"/>
      <sheetName val="Cap summary"/>
      <sheetName val="SOURCES&gt;&gt;"/>
      <sheetName val="PC DEBT "/>
      <sheetName val="Non-payment"/>
      <sheetName val="DEBT SCHED&gt;&gt;"/>
      <sheetName val="GO"/>
      <sheetName val="COFINA"/>
      <sheetName val="CCDA"/>
      <sheetName val="HTA"/>
      <sheetName val="PBA"/>
      <sheetName val="PRIFA"/>
      <sheetName val="PFC"/>
      <sheetName val="UPR"/>
      <sheetName val="ERS"/>
      <sheetName val="GDB"/>
      <sheetName val="PRIDCO"/>
      <sheetName val="BLOOMBERG&gt;&gt;"/>
      <sheetName val="GO1"/>
      <sheetName val="GO2"/>
      <sheetName val="PBA1"/>
      <sheetName val="PBA2"/>
      <sheetName val="COFINA1"/>
      <sheetName val="COFINA2"/>
      <sheetName val="HTA1"/>
      <sheetName val="HTA2"/>
      <sheetName val="CCDA1"/>
      <sheetName val="CCDA2"/>
      <sheetName val="PRIFA1"/>
      <sheetName val="PRIFA2"/>
      <sheetName val="PFC1"/>
      <sheetName val="PFC2"/>
      <sheetName val="UPR1"/>
      <sheetName val="UPR2"/>
      <sheetName val="ERS1"/>
      <sheetName val="ERS2"/>
      <sheetName val="GDB1"/>
      <sheetName val="PRIDCO1"/>
      <sheetName val="PRIDCO2"/>
      <sheetName val="Missed payments"/>
      <sheetName val="Monthly Deltas"/>
      <sheetName val="PRIFA (2)"/>
      <sheetName val="HTA (2)"/>
      <sheetName val="PRIDCO (2)"/>
      <sheetName val="Debt Detail"/>
      <sheetName val="Series_monthly_schedule"/>
      <sheetName val="GO_monthly_schedule"/>
      <sheetName val="COFINA_monthly_schedule"/>
      <sheetName val="PBA_monthly_schedule"/>
      <sheetName val="HTA_monthly_schedule"/>
      <sheetName val="GDB_monthly_schedule"/>
      <sheetName val="PRIFA_monthly_schedule"/>
      <sheetName val="CCDA_monthly_schedule"/>
      <sheetName val="PFC_monthly_schedule"/>
      <sheetName val="UPR_monthly_schedule"/>
      <sheetName val="ERS_monthly_schedule"/>
      <sheetName val="PRIDCO_monthly_schedule"/>
      <sheetName val="Guaranteed_Debt"/>
      <sheetName val="PRASA_Balances"/>
      <sheetName val="PRASA_P+I"/>
      <sheetName val="COFINA_(1)"/>
      <sheetName val="COFINA_(2)"/>
      <sheetName val="DS_Schedule"/>
      <sheetName val="Cap_summary"/>
      <sheetName val="PC_DEBT_"/>
      <sheetName val="DEBT_SCHED&gt;&gt;"/>
      <sheetName val="Missed_payments"/>
      <sheetName val="Monthly_Deltas"/>
      <sheetName val="PRIFA_(2)"/>
      <sheetName val="HTA_(2)"/>
      <sheetName val="PRIDCO_(2)"/>
      <sheetName val="Debt_Detail"/>
      <sheetName val="Series_monthly_schedule1"/>
      <sheetName val="GO_monthly_schedule1"/>
      <sheetName val="COFINA_monthly_schedule1"/>
      <sheetName val="PBA_monthly_schedule1"/>
      <sheetName val="HTA_monthly_schedule1"/>
      <sheetName val="GDB_monthly_schedule1"/>
      <sheetName val="PRIFA_monthly_schedule1"/>
      <sheetName val="CCDA_monthly_schedule1"/>
      <sheetName val="PFC_monthly_schedule1"/>
      <sheetName val="UPR_monthly_schedule1"/>
      <sheetName val="ERS_monthly_schedule1"/>
      <sheetName val="PRIDCO_monthly_schedule1"/>
      <sheetName val="Guaranteed_Debt1"/>
      <sheetName val="PRASA_Balances1"/>
      <sheetName val="PRASA_P+I1"/>
      <sheetName val="COFINA_(1)1"/>
      <sheetName val="COFINA_(2)1"/>
      <sheetName val="DS_Schedule1"/>
      <sheetName val="Cap_summary1"/>
      <sheetName val="PC_DEBT_1"/>
      <sheetName val="DEBT_SCHED&gt;&gt;1"/>
      <sheetName val="Missed_payments1"/>
      <sheetName val="Monthly_Deltas1"/>
      <sheetName val="PRIFA_(2)1"/>
      <sheetName val="HTA_(2)1"/>
      <sheetName val="PRIDCO_(2)1"/>
      <sheetName val="Debt_Deta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puts &amp; Summary"/>
      <sheetName val="CF Model"/>
      <sheetName val="Summary"/>
      <sheetName val="Debt Schedule"/>
      <sheetName val="Revenue Bonds Schedule"/>
      <sheetName val="Outputs"/>
      <sheetName val="P&amp;I"/>
      <sheetName val="Presentation Outputs"/>
      <sheetName val="Debt Service"/>
      <sheetName val="CW FP Comparison"/>
      <sheetName val="Capitalization Table"/>
      <sheetName val="Top Renters"/>
      <sheetName val="Delta"/>
      <sheetName val="Inputs_&amp;_Summary"/>
      <sheetName val="CF_Model"/>
      <sheetName val="Debt_Schedule"/>
      <sheetName val="Revenue_Bonds_Schedule"/>
      <sheetName val="Presentation_Outputs"/>
      <sheetName val="Debt_Service"/>
      <sheetName val="CW_FP_Comparison"/>
      <sheetName val="Capitalization_Table"/>
      <sheetName val="Top_Renters"/>
      <sheetName val="Inputs_&amp;_Summary1"/>
      <sheetName val="CF_Model1"/>
      <sheetName val="Debt_Schedule1"/>
      <sheetName val="Revenue_Bonds_Schedule1"/>
      <sheetName val="Presentation_Outputs1"/>
      <sheetName val="Debt_Service1"/>
      <sheetName val="CW_FP_Comparison1"/>
      <sheetName val="Capitalization_Table1"/>
      <sheetName val="Top_Renter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up Cost Model"/>
      <sheetName val="Operating Cost Model"/>
      <sheetName val="FFH Charge"/>
      <sheetName val="Performance Summary"/>
      <sheetName val="Rio Start Matrix + Fuel"/>
      <sheetName val="GW Start Matrix + Fuel"/>
      <sheetName val="FFH-Lump Sum basis"/>
      <sheetName val="Rio Nogales O&amp;M RCE (2)"/>
      <sheetName val="Rio Nogales O&amp;M JU"/>
      <sheetName val="Rio Nogales O&amp;M RCE"/>
      <sheetName val="Rio Nogales Start JU"/>
      <sheetName val="2006 Start Cost Summary ALII"/>
      <sheetName val="2006 Start Cost Summary ALI (2)"/>
      <sheetName val="VA PL hrdata"/>
      <sheetName val="Generic BL Model"/>
      <sheetName val="Lookups"/>
      <sheetName val="PopCache"/>
      <sheetName val="PPS Estimate Summary"/>
      <sheetName val="RPL DETAIL"/>
      <sheetName val="PD Fixed Proforma"/>
      <sheetName val="Capital"/>
      <sheetName val="old"/>
      <sheetName val="Oracle Cheat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2">
          <cell r="B12">
            <v>46.082110749406695</v>
          </cell>
        </row>
        <row r="16">
          <cell r="J16">
            <v>4.9999999999999996E-2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error"/>
      <sheetName val="dist branch adj"/>
      <sheetName val="year end adjustments"/>
      <sheetName val="990-999compressors"/>
      <sheetName val="990-999"/>
      <sheetName val="DISTBRANCH"/>
      <sheetName val="volumes"/>
      <sheetName val="390"/>
      <sheetName val="160"/>
      <sheetName val="560"/>
      <sheetName val="590"/>
      <sheetName val="149"/>
      <sheetName val="130"/>
      <sheetName val="100"/>
      <sheetName val="200"/>
      <sheetName val="111"/>
      <sheetName val="Sheet11"/>
      <sheetName val="210"/>
      <sheetName val="465"/>
      <sheetName val="460"/>
      <sheetName val="Sheet15"/>
      <sheetName val="trans pivot"/>
      <sheetName val="trans"/>
      <sheetName val="HISTCSHFL"/>
      <sheetName val="DIST-BRN"/>
      <sheetName val="Blended Forecast Formulas"/>
      <sheetName val="CONTINGENCIES"/>
      <sheetName val="AES_ECO_LNG"/>
      <sheetName val="AAP_ANALYSIS"/>
      <sheetName val="MONTHLY_ANALYSIS"/>
      <sheetName val="JULY_CONTRACTION"/>
      <sheetName val="CAPEX"/>
      <sheetName val="INVENTORY"/>
      <sheetName val="CIP_OLD"/>
      <sheetName val="Millstein_OLD"/>
      <sheetName val="Puma Aging_OLD"/>
      <sheetName val="Capitalization Table"/>
      <sheetName val="Generic BL Model"/>
      <sheetName val="Telecommunication Eng"/>
      <sheetName val="_ADFDI_LOV"/>
      <sheetName val="RPL DETAIL"/>
      <sheetName val="2-US_PRICE"/>
      <sheetName val="PopCache"/>
      <sheetName val="Oracle Cheat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B Proposal"/>
      <sheetName val="Summary (2)"/>
      <sheetName val="Evals"/>
      <sheetName val="Wtd. Avg. #2"/>
      <sheetName val="Summary"/>
      <sheetName val="Page001"/>
      <sheetName val="Page002"/>
      <sheetName val="Page003"/>
      <sheetName val="Page004"/>
      <sheetName val="Page005"/>
      <sheetName val="Page006"/>
      <sheetName val="Page007"/>
      <sheetName val="Page008"/>
      <sheetName val="CVR NPVs"/>
      <sheetName val="CAB Accretion"/>
      <sheetName val="COFINA DS"/>
      <sheetName val="Original DS"/>
      <sheetName val="GDB_Proposal"/>
      <sheetName val="Summary_(2)"/>
      <sheetName val="Wtd__Avg__#2"/>
      <sheetName val="CVR_NPVs"/>
      <sheetName val="CAB_Accretion"/>
      <sheetName val="COFINA_DS"/>
      <sheetName val="Original_DS"/>
      <sheetName val="GDB_Proposal1"/>
      <sheetName val="Summary_(2)1"/>
      <sheetName val="Wtd__Avg__#21"/>
      <sheetName val="CVR_NPVs1"/>
      <sheetName val="CAB_Accretion1"/>
      <sheetName val="COFINA_DS1"/>
      <sheetName val="Original_DS1"/>
    </sheetNames>
    <sheetDataSet>
      <sheetData sheetId="0"/>
      <sheetData sheetId="1"/>
      <sheetData sheetId="2"/>
      <sheetData sheetId="3"/>
      <sheetData sheetId="4"/>
      <sheetData sheetId="5">
        <row r="11">
          <cell r="F11">
            <v>12912817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3">
          <cell r="C13" t="str">
            <v>745145AU6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US"/>
      <sheetName val="CIP"/>
      <sheetName val="Cash Flow"/>
      <sheetName val="DL"/>
      <sheetName val="IBES"/>
      <sheetName val="Model"/>
      <sheetName val="Value-A"/>
      <sheetName val="variables"/>
      <sheetName val="Scenarios"/>
      <sheetName val="ACM"/>
      <sheetName val="MW Ratios"/>
      <sheetName val="Field"/>
      <sheetName val="REVS"/>
      <sheetName val="earnmodel"/>
      <sheetName val="O_fpage"/>
      <sheetName val="maturityprofile"/>
      <sheetName val="IP"/>
      <sheetName val="Vluation"/>
      <sheetName val="ChemiPal JV"/>
      <sheetName val="Old BKS"/>
      <sheetName val="CY Link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XOM"/>
      <sheetName val="Balance Sheet"/>
      <sheetName val="Income Statement"/>
      <sheetName val="Fin. Summary"/>
      <sheetName val="Links"/>
      <sheetName val="New Source"/>
      <sheetName val="INFAnnual"/>
      <sheetName val="BalanceSheet"/>
      <sheetName val="SectorPSales"/>
      <sheetName val="BMW"/>
      <sheetName val="Add"/>
      <sheetName val="Revenue Model"/>
      <sheetName val="LME 2010"/>
      <sheetName val="Annual"/>
      <sheetName val="RD"/>
      <sheetName val="Input Income Statement"/>
      <sheetName val="Qtrly P&amp;L and BalSheet"/>
      <sheetName val="MERGER"/>
      <sheetName val="Assumptions"/>
      <sheetName val="GT"/>
      <sheetName val="3Q05 Variance"/>
      <sheetName val="P&amp;L"/>
      <sheetName val="A"/>
      <sheetName val="Reserve"/>
      <sheetName val="Scenario"/>
      <sheetName val="Ratings"/>
      <sheetName val="synthgraph"/>
      <sheetName val="Ex3"/>
      <sheetName val="MW ROE Analyzer"/>
      <sheetName val="New RGM"/>
      <sheetName val="Master"/>
      <sheetName val="model &amp; valuation"/>
      <sheetName val="Budget summary 2011"/>
      <sheetName val="B"/>
      <sheetName val="Print"/>
      <sheetName val="Revenue at Risk"/>
      <sheetName val="c1"/>
      <sheetName val="ｾｸﾞﾒﾝﾄ"/>
      <sheetName val="単独"/>
      <sheetName val="__FDSCACHE__"/>
      <sheetName val="Cover"/>
      <sheetName val="Summary"/>
      <sheetName val="NAV Valuation"/>
      <sheetName val="Sensitivity"/>
      <sheetName val="Workings"/>
      <sheetName val="Inventory_and_Backlog"/>
      <sheetName val="PoC Curves"/>
      <sheetName val="Source"/>
      <sheetName val="DCF Valuation"/>
      <sheetName val="CashFlow Curves"/>
      <sheetName val="MW"/>
      <sheetName val="MacroData"/>
      <sheetName val="MS Disclaimers"/>
      <sheetName val="MS Disclosures"/>
      <sheetName val="SummaryMW"/>
      <sheetName val="MWA RR"/>
      <sheetName val="HIDE&gt;&gt;&gt;"/>
      <sheetName val="Consensus"/>
      <sheetName val="Quarterly Results"/>
      <sheetName val="&gt;&gt;"/>
      <sheetName val="LinkSheet"/>
      <sheetName val="Audit"/>
      <sheetName val="MW-Cache"/>
      <sheetName val="CenarioCal"/>
      <sheetName val="CenarioUpdate"/>
      <sheetName val="Graphs"/>
      <sheetName val="mwareDates"/>
      <sheetName val="mwareSettings"/>
      <sheetName val="SCF &amp; BS"/>
      <sheetName val="Distribution"/>
      <sheetName val="Q-Link Source"/>
      <sheetName val="Revenue&amp;EBIT"/>
      <sheetName val="Output_Q"/>
      <sheetName val="Cash Flow Statement"/>
      <sheetName val="Output_A"/>
      <sheetName val="Segment_ROCE"/>
      <sheetName val="GROUP P&amp;L"/>
      <sheetName val="RenewProb"/>
      <sheetName val="cpi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Financial&gt;&gt;&gt;"/>
      <sheetName val="B2A Summary"/>
      <sheetName val="Monthly Revenues"/>
      <sheetName val="Monthly Expenses"/>
      <sheetName val="Variances Detail"/>
      <sheetName val="Pension and Benefits"/>
      <sheetName val="Source Docs&gt;&gt;&gt;"/>
      <sheetName val="Revenue_FY23B"/>
      <sheetName val="Expenses_FY23B"/>
      <sheetName val="Revenue_FY24B"/>
      <sheetName val="Expenses_FY24B"/>
    </sheetNames>
    <sheetDataSet>
      <sheetData sheetId="0">
        <row r="4">
          <cell r="L4">
            <v>45000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rm_Spec"/>
      <sheetName val="Fcst Compare"/>
      <sheetName val="Agrium"/>
      <sheetName val="PCS"/>
      <sheetName val="IMC"/>
      <sheetName val="Potash"/>
      <sheetName val="Pot Drivers"/>
      <sheetName val="Enbridge"/>
      <sheetName val="Cochin-Amoco"/>
      <sheetName val="TCPL"/>
      <sheetName val="Wey"/>
      <sheetName val="Weysoft"/>
      <sheetName val="Weyosb2"/>
      <sheetName val="WeyBigRiv"/>
      <sheetName val="MW"/>
      <sheetName val="Tolko"/>
      <sheetName val="IPSCO"/>
      <sheetName val="Sterling"/>
      <sheetName val="Saskferco"/>
      <sheetName val="Amoco"/>
      <sheetName val="NewGrade"/>
      <sheetName val="Husky"/>
      <sheetName val="PR Coal"/>
      <sheetName val="Est Coal"/>
      <sheetName val="Rabbit"/>
      <sheetName val="Key"/>
      <sheetName val="Cigar"/>
      <sheetName val="Claude"/>
      <sheetName val="McArthur"/>
      <sheetName val="McLean"/>
      <sheetName val="U of S"/>
      <sheetName val="U of R"/>
      <sheetName val="Buff Pnd"/>
      <sheetName val="Praxair"/>
      <sheetName val="Pr Malt"/>
      <sheetName val="Reg Hth"/>
      <sheetName val="SaskTel"/>
      <sheetName val="Regina Ex"/>
      <sheetName val="Spec Load"/>
      <sheetName val="Co Generation"/>
      <sheetName val="Power Rate"/>
      <sheetName val="Canamera"/>
      <sheetName val="Dairywld"/>
      <sheetName val="XLMeats"/>
      <sheetName val="Flexicoil"/>
      <sheetName val="Nexans"/>
      <sheetName val="NorSask"/>
      <sheetName val="Sears"/>
      <sheetName val="NAL"/>
      <sheetName val="RegSew"/>
      <sheetName val="StoonSew"/>
      <sheetName val="CFBMJ"/>
      <sheetName val="SPMC"/>
      <sheetName val="RCMP"/>
      <sheetName val="Cargill"/>
      <sheetName val="SIAST"/>
      <sheetName val="ShawPipe"/>
      <sheetName val="PlainsUnity"/>
      <sheetName val="TCPLBurstall"/>
      <sheetName val="WesternAlfalfa"/>
      <sheetName val="pSpec Load"/>
      <sheetName val="poSpec Load"/>
      <sheetName val="powSpec Load"/>
      <sheetName val="poweSpec Load"/>
      <sheetName val="powerSpec Load"/>
      <sheetName val="power Spec Load"/>
      <sheetName val="Fcst_Compare"/>
      <sheetName val="Pot_Drivers"/>
      <sheetName val="PR_Coal"/>
      <sheetName val="Est_Coal"/>
      <sheetName val="U_of_S"/>
      <sheetName val="U_of_R"/>
      <sheetName val="Buff_Pnd"/>
      <sheetName val="Pr_Malt"/>
      <sheetName val="Reg_Hth"/>
      <sheetName val="Regina_Ex"/>
      <sheetName val="Spec_Load"/>
      <sheetName val="Co_Generation"/>
      <sheetName val="Power_Rate"/>
      <sheetName val="pSpec_Load"/>
      <sheetName val="poSpec_Load"/>
      <sheetName val="powSpec_Load"/>
      <sheetName val="poweSpec_Load"/>
      <sheetName val="powerSpec_Load"/>
      <sheetName val="power_Spec_Load"/>
      <sheetName val="_ADFDI_LOV"/>
      <sheetName val="Single Journal"/>
      <sheetName val="Monthly Forecast sheet"/>
      <sheetName val="Bal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D9">
            <v>827.7</v>
          </cell>
        </row>
        <row r="10">
          <cell r="D10">
            <v>829</v>
          </cell>
        </row>
        <row r="11">
          <cell r="D11">
            <v>837.5</v>
          </cell>
        </row>
        <row r="12">
          <cell r="D12">
            <v>965.9</v>
          </cell>
        </row>
        <row r="13">
          <cell r="D13">
            <v>954.5</v>
          </cell>
        </row>
        <row r="14">
          <cell r="D14">
            <v>1029.2</v>
          </cell>
        </row>
        <row r="15">
          <cell r="D15">
            <v>1089.8</v>
          </cell>
        </row>
        <row r="16">
          <cell r="D16">
            <v>1104.2</v>
          </cell>
        </row>
        <row r="17">
          <cell r="D17">
            <v>916.5</v>
          </cell>
        </row>
        <row r="18">
          <cell r="D18">
            <v>966.7</v>
          </cell>
        </row>
        <row r="19">
          <cell r="D19">
            <v>1163.2</v>
          </cell>
        </row>
        <row r="20">
          <cell r="D20">
            <v>1073.2</v>
          </cell>
        </row>
        <row r="21">
          <cell r="D21">
            <v>1105</v>
          </cell>
        </row>
        <row r="22">
          <cell r="D22">
            <v>1207.3</v>
          </cell>
        </row>
        <row r="23">
          <cell r="D23">
            <v>1210.0999999999999</v>
          </cell>
        </row>
        <row r="24">
          <cell r="D24">
            <v>1154.9000000000001</v>
          </cell>
        </row>
        <row r="25">
          <cell r="D25">
            <v>1117.8</v>
          </cell>
        </row>
        <row r="26">
          <cell r="D26">
            <v>1138.3</v>
          </cell>
        </row>
        <row r="27">
          <cell r="D27">
            <v>1134.5999999999999</v>
          </cell>
        </row>
        <row r="28">
          <cell r="D28">
            <v>1129.7</v>
          </cell>
        </row>
        <row r="29">
          <cell r="D29">
            <v>1249.4000000000001</v>
          </cell>
        </row>
        <row r="30">
          <cell r="D30">
            <v>1299.4000000000001</v>
          </cell>
          <cell r="K30" t="str">
            <v>1999f</v>
          </cell>
        </row>
        <row r="31">
          <cell r="D31">
            <v>1256.0999999999999</v>
          </cell>
          <cell r="K31" t="str">
            <v>Prod</v>
          </cell>
        </row>
        <row r="32">
          <cell r="D32">
            <v>1405.9</v>
          </cell>
          <cell r="K32" t="str">
            <v>10^3 t</v>
          </cell>
        </row>
        <row r="33">
          <cell r="D33">
            <v>1454.2349999999999</v>
          </cell>
        </row>
        <row r="34">
          <cell r="D34">
            <v>1409.297</v>
          </cell>
          <cell r="K34">
            <v>172.03017647216686</v>
          </cell>
        </row>
        <row r="35">
          <cell r="D35">
            <v>1554.7767759999999</v>
          </cell>
          <cell r="K35">
            <v>172.03017647216686</v>
          </cell>
        </row>
        <row r="36">
          <cell r="D36">
            <v>1428.5026640000001</v>
          </cell>
          <cell r="K36">
            <v>172.03017647216686</v>
          </cell>
        </row>
        <row r="37">
          <cell r="D37">
            <v>1401.9818230000001</v>
          </cell>
          <cell r="K37">
            <v>172.03017647216686</v>
          </cell>
        </row>
        <row r="38">
          <cell r="D38">
            <v>1455.780994</v>
          </cell>
          <cell r="K38">
            <v>172.03017647216686</v>
          </cell>
        </row>
        <row r="39">
          <cell r="D39">
            <v>1535.291577</v>
          </cell>
          <cell r="K39">
            <v>172.03017647216686</v>
          </cell>
        </row>
        <row r="41">
          <cell r="D41">
            <v>1623.7459998500615</v>
          </cell>
          <cell r="K41">
            <v>172.03017647216686</v>
          </cell>
        </row>
        <row r="42">
          <cell r="D42">
            <v>1648.716254267674</v>
          </cell>
          <cell r="K42">
            <v>172.03017647216686</v>
          </cell>
        </row>
        <row r="43">
          <cell r="D43">
            <v>1670.459060835391</v>
          </cell>
          <cell r="K43">
            <v>172.03017647216686</v>
          </cell>
        </row>
        <row r="44">
          <cell r="D44">
            <v>1705.7911215079314</v>
          </cell>
          <cell r="K44">
            <v>172.03017647216686</v>
          </cell>
        </row>
        <row r="45">
          <cell r="D45">
            <v>1748.0876749091935</v>
          </cell>
          <cell r="K45">
            <v>172.03017647216686</v>
          </cell>
        </row>
        <row r="46">
          <cell r="D46">
            <v>1790.7239596630764</v>
          </cell>
          <cell r="K46">
            <v>172.03017647216686</v>
          </cell>
        </row>
        <row r="47">
          <cell r="D47">
            <v>1815.6942140806891</v>
          </cell>
          <cell r="K47">
            <v>172.03017647216686</v>
          </cell>
        </row>
        <row r="48">
          <cell r="D48">
            <v>1851.3660061058499</v>
          </cell>
          <cell r="K48">
            <v>172.03017647216686</v>
          </cell>
        </row>
        <row r="49">
          <cell r="D49">
            <v>1899.4379925016619</v>
          </cell>
          <cell r="K49">
            <v>172.03017647216686</v>
          </cell>
        </row>
        <row r="50">
          <cell r="D50">
            <v>1925.9370380060673</v>
          </cell>
          <cell r="K50">
            <v>172.03017647216686</v>
          </cell>
        </row>
        <row r="51">
          <cell r="D51">
            <v>1952.4360835104724</v>
          </cell>
          <cell r="K51">
            <v>172.03017647216686</v>
          </cell>
        </row>
        <row r="52">
          <cell r="D52">
            <v>1987.3377040462287</v>
          </cell>
          <cell r="K52">
            <v>172.03017647216686</v>
          </cell>
        </row>
        <row r="53">
          <cell r="D53">
            <v>2017.5324221578981</v>
          </cell>
          <cell r="K53">
            <v>172.03017647216686</v>
          </cell>
        </row>
        <row r="54">
          <cell r="D54">
            <v>2049.0222221513482</v>
          </cell>
          <cell r="K54">
            <v>172.03017647216686</v>
          </cell>
        </row>
        <row r="55">
          <cell r="D55">
            <v>2082.2679575895809</v>
          </cell>
          <cell r="K55">
            <v>172.03017647216686</v>
          </cell>
        </row>
        <row r="56">
          <cell r="D56">
            <v>2114.9085721683946</v>
          </cell>
          <cell r="K56">
            <v>172.03017647216686</v>
          </cell>
        </row>
        <row r="57">
          <cell r="D57">
            <v>2148.4007193245857</v>
          </cell>
          <cell r="K57">
            <v>172.03017647216686</v>
          </cell>
        </row>
        <row r="58">
          <cell r="D58">
            <v>2182.5866576750554</v>
          </cell>
          <cell r="K58">
            <v>172.03017647216686</v>
          </cell>
        </row>
        <row r="59">
          <cell r="D59">
            <v>2217.088976439105</v>
          </cell>
          <cell r="K59">
            <v>172.03017647216686</v>
          </cell>
        </row>
        <row r="60">
          <cell r="D60">
            <v>2252.2346256231899</v>
          </cell>
          <cell r="K60">
            <v>172.03017647216686</v>
          </cell>
        </row>
        <row r="61">
          <cell r="D61">
            <v>2287.9493799048901</v>
          </cell>
          <cell r="K61">
            <v>172.03017647216686</v>
          </cell>
        </row>
        <row r="62">
          <cell r="D62">
            <v>2324.1886899784859</v>
          </cell>
          <cell r="K62">
            <v>172.03017647216686</v>
          </cell>
        </row>
        <row r="63">
          <cell r="D63">
            <v>2361.0261856257835</v>
          </cell>
          <cell r="K63">
            <v>172.03017647216686</v>
          </cell>
        </row>
        <row r="64">
          <cell r="D64">
            <v>2398.4455383665327</v>
          </cell>
          <cell r="K64">
            <v>172.03017647216686</v>
          </cell>
        </row>
        <row r="65">
          <cell r="D65">
            <v>2436.4509794480568</v>
          </cell>
        </row>
        <row r="66">
          <cell r="D66">
            <v>2475.064053614567</v>
          </cell>
        </row>
      </sheetData>
      <sheetData sheetId="7" refreshError="1">
        <row r="6">
          <cell r="H6">
            <v>5496</v>
          </cell>
          <cell r="I6">
            <v>5496</v>
          </cell>
        </row>
        <row r="7">
          <cell r="H7">
            <v>5433</v>
          </cell>
          <cell r="I7">
            <v>5433</v>
          </cell>
        </row>
        <row r="8">
          <cell r="H8">
            <v>4991</v>
          </cell>
          <cell r="I8">
            <v>4991</v>
          </cell>
        </row>
        <row r="9">
          <cell r="H9">
            <v>6090</v>
          </cell>
          <cell r="I9">
            <v>6090</v>
          </cell>
        </row>
        <row r="10">
          <cell r="H10">
            <v>6453</v>
          </cell>
          <cell r="I10">
            <v>6453</v>
          </cell>
        </row>
        <row r="11">
          <cell r="H11">
            <v>7146</v>
          </cell>
          <cell r="I11">
            <v>7146</v>
          </cell>
        </row>
        <row r="12">
          <cell r="H12">
            <v>7127</v>
          </cell>
          <cell r="I12">
            <v>7127</v>
          </cell>
        </row>
        <row r="13">
          <cell r="H13">
            <v>6357</v>
          </cell>
          <cell r="I13">
            <v>6357</v>
          </cell>
        </row>
        <row r="14">
          <cell r="H14">
            <v>5087</v>
          </cell>
          <cell r="I14">
            <v>5087</v>
          </cell>
        </row>
        <row r="15">
          <cell r="H15">
            <v>5928</v>
          </cell>
          <cell r="I15">
            <v>5928</v>
          </cell>
        </row>
        <row r="16">
          <cell r="H16">
            <v>7650</v>
          </cell>
          <cell r="I16">
            <v>7650</v>
          </cell>
        </row>
        <row r="17">
          <cell r="H17">
            <v>6412</v>
          </cell>
          <cell r="I17">
            <v>6412</v>
          </cell>
        </row>
        <row r="18">
          <cell r="H18">
            <v>6031</v>
          </cell>
          <cell r="I18">
            <v>6032</v>
          </cell>
        </row>
        <row r="19">
          <cell r="H19">
            <v>6449</v>
          </cell>
          <cell r="I19">
            <v>6449</v>
          </cell>
        </row>
        <row r="20">
          <cell r="H20">
            <v>7372</v>
          </cell>
          <cell r="I20">
            <v>7372</v>
          </cell>
        </row>
        <row r="21">
          <cell r="H21">
            <v>6509</v>
          </cell>
          <cell r="I21">
            <v>6508</v>
          </cell>
        </row>
        <row r="22">
          <cell r="H22">
            <v>6015</v>
          </cell>
          <cell r="I22">
            <v>6015</v>
          </cell>
        </row>
        <row r="23">
          <cell r="H23">
            <v>6299</v>
          </cell>
          <cell r="I23">
            <v>6299</v>
          </cell>
        </row>
        <row r="24">
          <cell r="H24">
            <v>6179</v>
          </cell>
          <cell r="I24">
            <v>6179</v>
          </cell>
        </row>
        <row r="25">
          <cell r="H25">
            <v>6000</v>
          </cell>
          <cell r="I25">
            <v>6000</v>
          </cell>
        </row>
        <row r="26">
          <cell r="H26">
            <v>7148</v>
          </cell>
          <cell r="I26">
            <v>7148</v>
          </cell>
        </row>
        <row r="27">
          <cell r="H27">
            <v>7925</v>
          </cell>
          <cell r="I27">
            <v>7925</v>
          </cell>
        </row>
        <row r="28">
          <cell r="H28">
            <v>6969</v>
          </cell>
          <cell r="I28">
            <v>7044</v>
          </cell>
        </row>
        <row r="29">
          <cell r="H29">
            <v>8297</v>
          </cell>
          <cell r="I29">
            <v>8160</v>
          </cell>
        </row>
        <row r="30">
          <cell r="H30">
            <v>8698</v>
          </cell>
          <cell r="I30">
            <v>8160</v>
          </cell>
        </row>
        <row r="31">
          <cell r="H31">
            <v>8145</v>
          </cell>
          <cell r="I31">
            <v>8304.84</v>
          </cell>
        </row>
        <row r="32">
          <cell r="H32">
            <v>8308</v>
          </cell>
          <cell r="I32">
            <v>8529.24</v>
          </cell>
        </row>
        <row r="33">
          <cell r="H33">
            <v>8492</v>
          </cell>
          <cell r="I33">
            <v>8759.76</v>
          </cell>
        </row>
        <row r="34">
          <cell r="H34">
            <v>8676</v>
          </cell>
          <cell r="I34">
            <v>8995.380000000001</v>
          </cell>
        </row>
        <row r="35">
          <cell r="H35">
            <v>8871</v>
          </cell>
          <cell r="I35">
            <v>9239.16</v>
          </cell>
        </row>
        <row r="36">
          <cell r="H36">
            <v>9066</v>
          </cell>
          <cell r="I36">
            <v>9239.16</v>
          </cell>
        </row>
        <row r="38">
          <cell r="H38">
            <v>9261</v>
          </cell>
          <cell r="I38">
            <v>9744.06</v>
          </cell>
        </row>
        <row r="39">
          <cell r="H39">
            <v>9467</v>
          </cell>
          <cell r="I39">
            <v>10007.219999999999</v>
          </cell>
        </row>
        <row r="40">
          <cell r="H40">
            <v>9672</v>
          </cell>
          <cell r="I40">
            <v>10277.52</v>
          </cell>
        </row>
        <row r="41">
          <cell r="H41">
            <v>9889</v>
          </cell>
          <cell r="I41">
            <v>10554.960000000001</v>
          </cell>
        </row>
        <row r="42">
          <cell r="H42">
            <v>10106</v>
          </cell>
          <cell r="I42">
            <v>10840.56</v>
          </cell>
        </row>
        <row r="43">
          <cell r="H43">
            <v>10322</v>
          </cell>
          <cell r="I43">
            <v>11133.300000000001</v>
          </cell>
        </row>
        <row r="44">
          <cell r="H44">
            <v>10550</v>
          </cell>
          <cell r="I44">
            <v>11433.18</v>
          </cell>
        </row>
        <row r="45">
          <cell r="H45">
            <v>10788</v>
          </cell>
          <cell r="I45">
            <v>11742.24</v>
          </cell>
        </row>
        <row r="46">
          <cell r="H46">
            <v>11026</v>
          </cell>
          <cell r="I46">
            <v>12059.460000000001</v>
          </cell>
        </row>
        <row r="47">
          <cell r="H47">
            <v>11265</v>
          </cell>
          <cell r="I47">
            <v>12384.84</v>
          </cell>
        </row>
        <row r="48">
          <cell r="H48">
            <v>11514</v>
          </cell>
          <cell r="I48">
            <v>12719.4</v>
          </cell>
        </row>
        <row r="49">
          <cell r="H49">
            <v>11763</v>
          </cell>
          <cell r="I49">
            <v>13062.12</v>
          </cell>
        </row>
        <row r="50">
          <cell r="H50">
            <v>12023</v>
          </cell>
          <cell r="I50">
            <v>13415.04</v>
          </cell>
        </row>
        <row r="51">
          <cell r="H51">
            <v>12294</v>
          </cell>
          <cell r="I51">
            <v>13777.14</v>
          </cell>
        </row>
        <row r="52">
          <cell r="H52">
            <v>12564</v>
          </cell>
          <cell r="I52">
            <v>14372.323098580242</v>
          </cell>
        </row>
        <row r="53">
          <cell r="H53">
            <v>12835</v>
          </cell>
          <cell r="I53">
            <v>14992.1954710753</v>
          </cell>
        </row>
        <row r="54">
          <cell r="H54">
            <v>13124</v>
          </cell>
          <cell r="I54">
            <v>15639.808025352111</v>
          </cell>
        </row>
        <row r="55">
          <cell r="H55">
            <v>13418</v>
          </cell>
          <cell r="I55">
            <v>16313.97927894442</v>
          </cell>
        </row>
        <row r="56">
          <cell r="H56">
            <v>13720</v>
          </cell>
          <cell r="I56">
            <v>17019.037604729558</v>
          </cell>
        </row>
        <row r="57">
          <cell r="H57">
            <v>14028</v>
          </cell>
          <cell r="I57">
            <v>17753.845747073537</v>
          </cell>
        </row>
        <row r="58">
          <cell r="H58">
            <v>14343</v>
          </cell>
          <cell r="I58">
            <v>18519.473136813191</v>
          </cell>
        </row>
        <row r="59">
          <cell r="H59">
            <v>14665</v>
          </cell>
          <cell r="I59">
            <v>19319.4230906019</v>
          </cell>
        </row>
        <row r="60">
          <cell r="H60">
            <v>14995</v>
          </cell>
          <cell r="I60">
            <v>20152.530465315689</v>
          </cell>
        </row>
        <row r="61">
          <cell r="H61">
            <v>15331</v>
          </cell>
          <cell r="I61">
            <v>20989.560635853279</v>
          </cell>
        </row>
        <row r="62">
          <cell r="H62">
            <v>15676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M Summary"/>
      <sheetName val="Project Estimates"/>
      <sheetName val="LANSING"/>
      <sheetName val="High School"/>
      <sheetName val="HS Lights"/>
      <sheetName val="Pool "/>
      <sheetName val="COGEN"/>
      <sheetName val="Middle School"/>
      <sheetName val="MS Lights"/>
      <sheetName val="Elementary School"/>
      <sheetName val="ES Lights "/>
      <sheetName val="Bus Garage"/>
      <sheetName val="Syracuse"/>
      <sheetName val="1999-2000"/>
      <sheetName val="August 2009"/>
      <sheetName val="Potash"/>
      <sheetName val="Pot Drivers"/>
      <sheetName val="ECM_Summary"/>
      <sheetName val="Project_Estimates"/>
      <sheetName val="High_School"/>
      <sheetName val="HS_Lights"/>
      <sheetName val="Pool_"/>
      <sheetName val="Middle_School"/>
      <sheetName val="MS_Lights"/>
      <sheetName val="Elementary_School"/>
      <sheetName val="ES_Lights_"/>
      <sheetName val="Bus_Garage"/>
      <sheetName val="August_2009"/>
      <sheetName val="Pot_Drivers"/>
      <sheetName val="CEF Notes (4339DR-PR)"/>
      <sheetName val="FIPS-Applicants"/>
      <sheetName val="CEF Summary of Completed Work"/>
      <sheetName val="Sheet3"/>
      <sheetName val="Monthly Forecast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Contents"/>
      <sheetName val="1-US Summary"/>
      <sheetName val="2-US_PRICE"/>
      <sheetName val="3a-Int"/>
      <sheetName val="3b-non-OPEC"/>
      <sheetName val="3c-OPEC"/>
      <sheetName val="3d-Int_Cons"/>
      <sheetName val="4a-Us_Petroleum"/>
      <sheetName val="4b-Refining"/>
      <sheetName val="4c-Mogas"/>
      <sheetName val="5a-US_NG"/>
      <sheetName val="5b-NGPrices"/>
      <sheetName val="6-US_COAL"/>
      <sheetName val="7a-US_ELEC"/>
      <sheetName val="7b-Elec Sales"/>
      <sheetName val="7c-Elec Prices"/>
      <sheetName val="7d-Elec Gen"/>
      <sheetName val="7e-Elec Fuel"/>
      <sheetName val="8-Renewables"/>
      <sheetName val="9a-US Macro"/>
      <sheetName val="9b-Regional Macro"/>
      <sheetName val="9c-Weather"/>
      <sheetName val="Forward Recovery"/>
      <sheetName val="Runrate Bridge"/>
      <sheetName val="Week 53"/>
      <sheetName val="FY12 Bridge"/>
      <sheetName val="Summary_PW Cake Model v61"/>
      <sheetName val="New FY12 Detailed Bridge"/>
      <sheetName val="FY12 Bridge -revised"/>
      <sheetName val="F13 EBITDA bps change"/>
      <sheetName val="Initiative Proration - BRIDGE"/>
      <sheetName val="LANSING"/>
      <sheetName val="August 2009"/>
      <sheetName val="Bank Transactions"/>
      <sheetName val="PPS Rollup"/>
      <sheetName val="CEF Notes (4339DR-PR)"/>
      <sheetName val="FIPS-Applicants"/>
      <sheetName val="CEF Summary of Completed Wor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 Fixed Proforma"/>
      <sheetName val="Summary"/>
      <sheetName val="Efficiency"/>
      <sheetName val="DD Inputs"/>
      <sheetName val="GPA"/>
      <sheetName val="Instructions_Mapping"/>
      <sheetName val="LANSING"/>
      <sheetName val="PD_Fixed_Proforma"/>
      <sheetName val="DD_Inputs"/>
      <sheetName val="Capital"/>
    </sheetNames>
    <sheetDataSet>
      <sheetData sheetId="0">
        <row r="4">
          <cell r="B4" t="str">
            <v>Proposed Estimate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 Charts"/>
      <sheetName val="Page006A"/>
      <sheetName val="Page008A"/>
      <sheetName val="FEGP Outputs&gt;"/>
      <sheetName val="Various"/>
      <sheetName val="Sens."/>
      <sheetName val="Graphs"/>
      <sheetName val="Sum of Sum"/>
      <sheetName val="GNP"/>
      <sheetName val="Citi Outputs&gt;"/>
      <sheetName val="CVR Based on Citi Run_90%"/>
      <sheetName val="DS Addback"/>
      <sheetName val="Life DS"/>
      <sheetName val="Base Bond and CVR Gaps"/>
      <sheetName val="AG_Nat_90%"/>
      <sheetName val="DS7"/>
      <sheetName val="Split7"/>
      <sheetName val="ABT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Bridges&gt;"/>
      <sheetName val="Bridge to FEGP"/>
      <sheetName val="Output Bridge"/>
      <sheetName val="Rev Bridge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O Jan 1"/>
      <sheetName val="CPI Calc"/>
      <sheetName val="Jan 1 DS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GF Revenue FY2016"/>
      <sheetName val="Retirement"/>
      <sheetName val="Projection_ERS"/>
      <sheetName val="Projection_TRS"/>
      <sheetName val="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M36"/>
  <sheetViews>
    <sheetView tabSelected="1" workbookViewId="0"/>
  </sheetViews>
  <sheetFormatPr defaultColWidth="8.7109375" defaultRowHeight="15" x14ac:dyDescent="0.25"/>
  <cols>
    <col min="3" max="3" width="3" customWidth="1"/>
    <col min="4" max="4" width="4.42578125" customWidth="1"/>
    <col min="5" max="5" width="22.7109375" bestFit="1" customWidth="1"/>
    <col min="6" max="6" width="7.42578125" customWidth="1"/>
    <col min="7" max="7" width="9.42578125" bestFit="1" customWidth="1"/>
    <col min="10" max="10" width="12.28515625" customWidth="1"/>
    <col min="11" max="11" width="7.42578125" style="42" customWidth="1"/>
    <col min="12" max="12" width="13.42578125" style="42" customWidth="1"/>
    <col min="13" max="13" width="13.5703125" customWidth="1"/>
    <col min="14" max="14" width="2.5703125" customWidth="1"/>
    <col min="15" max="15" width="18.42578125" customWidth="1"/>
    <col min="16" max="16" width="7.42578125" customWidth="1"/>
    <col min="17" max="17" width="12.42578125" customWidth="1"/>
    <col min="18" max="18" width="12.7109375" customWidth="1"/>
    <col min="19" max="19" width="2.42578125" customWidth="1"/>
    <col min="20" max="20" width="21.42578125" customWidth="1"/>
    <col min="21" max="21" width="10" customWidth="1"/>
    <col min="22" max="22" width="13.28515625" customWidth="1"/>
    <col min="23" max="23" width="12.5703125" customWidth="1"/>
    <col min="24" max="24" width="2.42578125" customWidth="1"/>
    <col min="25" max="25" width="25.5703125" customWidth="1"/>
    <col min="26" max="26" width="10.5703125" customWidth="1"/>
    <col min="27" max="28" width="13.42578125" customWidth="1"/>
    <col min="29" max="29" width="2.5703125" customWidth="1"/>
    <col min="30" max="30" width="21.42578125" customWidth="1"/>
    <col min="31" max="31" width="10.7109375" customWidth="1"/>
    <col min="32" max="32" width="13.28515625" customWidth="1"/>
    <col min="33" max="33" width="13" customWidth="1"/>
    <col min="34" max="34" width="2.5703125" customWidth="1"/>
    <col min="35" max="35" width="22.42578125" customWidth="1"/>
    <col min="36" max="36" width="11.28515625" customWidth="1"/>
    <col min="37" max="38" width="13.42578125" customWidth="1"/>
    <col min="39" max="39" width="2.5703125" customWidth="1"/>
    <col min="41" max="41" width="7.5703125" customWidth="1"/>
    <col min="51" max="51" width="10.7109375" customWidth="1"/>
    <col min="56" max="56" width="10.7109375" customWidth="1"/>
    <col min="61" max="61" width="10.7109375" customWidth="1"/>
  </cols>
  <sheetData>
    <row r="1" spans="1:13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157"/>
      <c r="M1" s="156"/>
    </row>
    <row r="2" spans="1:13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7"/>
      <c r="L2" s="157"/>
      <c r="M2" s="156"/>
    </row>
    <row r="3" spans="1:13" ht="19.5" x14ac:dyDescent="0.3">
      <c r="A3" s="156"/>
      <c r="B3" s="156"/>
      <c r="C3" s="158" t="s">
        <v>0</v>
      </c>
      <c r="D3" s="156"/>
      <c r="E3" s="156"/>
      <c r="F3" s="156"/>
      <c r="G3" s="156"/>
      <c r="H3" s="156"/>
      <c r="I3" s="156"/>
      <c r="J3" s="156"/>
      <c r="K3" s="159"/>
      <c r="L3" s="159"/>
      <c r="M3" s="160"/>
    </row>
    <row r="4" spans="1:13" ht="19.149999999999999" customHeight="1" thickBot="1" x14ac:dyDescent="0.3">
      <c r="C4" s="155" t="s">
        <v>1</v>
      </c>
      <c r="K4" s="214" t="s">
        <v>2</v>
      </c>
      <c r="L4" s="218">
        <v>45884</v>
      </c>
    </row>
    <row r="5" spans="1:13" ht="15.75" thickBot="1" x14ac:dyDescent="0.3">
      <c r="K5" s="43"/>
      <c r="L5" s="43"/>
    </row>
    <row r="6" spans="1:13" ht="15.75" thickBot="1" x14ac:dyDescent="0.3">
      <c r="C6" s="70" t="s">
        <v>3</v>
      </c>
      <c r="D6" s="154" t="s">
        <v>4</v>
      </c>
      <c r="E6" s="145"/>
      <c r="F6" s="145"/>
      <c r="G6" s="146"/>
      <c r="H6" s="145"/>
      <c r="I6" s="144"/>
      <c r="K6" s="43"/>
      <c r="L6" s="43"/>
    </row>
    <row r="7" spans="1:13" ht="3" customHeight="1" x14ac:dyDescent="0.25">
      <c r="C7" s="70"/>
      <c r="D7" s="153"/>
      <c r="E7" s="151"/>
      <c r="F7" s="151"/>
      <c r="G7" s="152"/>
      <c r="H7" s="151"/>
      <c r="I7" s="150"/>
      <c r="K7" s="43"/>
      <c r="L7" s="43"/>
    </row>
    <row r="8" spans="1:13" ht="14.65" customHeight="1" x14ac:dyDescent="0.25">
      <c r="C8" s="70"/>
      <c r="D8" s="165" t="s">
        <v>5</v>
      </c>
      <c r="E8" s="162"/>
      <c r="F8" s="162"/>
      <c r="G8" s="163"/>
      <c r="H8" s="162"/>
      <c r="I8" s="164"/>
      <c r="K8" s="43"/>
      <c r="L8" s="43"/>
    </row>
    <row r="9" spans="1:13" x14ac:dyDescent="0.25">
      <c r="D9" s="149">
        <f>MAX($D$1:$D7)+1</f>
        <v>1</v>
      </c>
      <c r="E9" s="95" t="str">
        <f>+'B2A Summary'!C7</f>
        <v>FY25 Monthly B2A Summary</v>
      </c>
      <c r="I9" s="135"/>
      <c r="K9" s="43"/>
      <c r="L9" s="43"/>
    </row>
    <row r="10" spans="1:13" x14ac:dyDescent="0.25">
      <c r="D10" s="149">
        <f>MAX($D$1:$D9)+1</f>
        <v>2</v>
      </c>
      <c r="E10" s="95" t="str">
        <f>+'Monthly Revenues'!C7</f>
        <v>FY25 Monthly Revenues</v>
      </c>
      <c r="I10" s="135"/>
      <c r="K10" s="43"/>
      <c r="L10" s="43"/>
    </row>
    <row r="11" spans="1:13" x14ac:dyDescent="0.25">
      <c r="D11" s="149">
        <f>MAX($D$1:$D10)+1</f>
        <v>3</v>
      </c>
      <c r="E11" s="95" t="str">
        <f>+'Monthly Expenses'!C7</f>
        <v>FY25 Monthly Expenses</v>
      </c>
      <c r="I11" s="135"/>
      <c r="K11" s="43"/>
      <c r="L11" s="43"/>
    </row>
    <row r="12" spans="1:13" x14ac:dyDescent="0.25">
      <c r="D12" s="149">
        <f>MAX($D$1:$D11)+1</f>
        <v>4</v>
      </c>
      <c r="E12" s="95" t="str">
        <f>'Variances Detail'!B3</f>
        <v>Variance Detail</v>
      </c>
      <c r="I12" s="135"/>
      <c r="K12" s="43"/>
      <c r="L12" s="43"/>
    </row>
    <row r="13" spans="1:13" ht="15.75" thickBot="1" x14ac:dyDescent="0.3">
      <c r="D13" s="148">
        <v>5</v>
      </c>
      <c r="E13" s="259" t="str">
        <f>+'Pension and Benefits'!B3</f>
        <v>Pension and Benefits</v>
      </c>
      <c r="F13" s="133"/>
      <c r="G13" s="133"/>
      <c r="H13" s="133"/>
      <c r="I13" s="132"/>
      <c r="K13" s="43"/>
      <c r="L13" s="43"/>
    </row>
    <row r="14" spans="1:13" ht="15.75" thickBot="1" x14ac:dyDescent="0.3">
      <c r="K14" s="43"/>
      <c r="L14" s="43"/>
    </row>
    <row r="15" spans="1:13" ht="15.75" thickBot="1" x14ac:dyDescent="0.3">
      <c r="D15" s="147" t="s">
        <v>6</v>
      </c>
      <c r="E15" s="145"/>
      <c r="F15" s="145"/>
      <c r="G15" s="146"/>
      <c r="H15" s="145"/>
      <c r="I15" s="144"/>
      <c r="K15" s="43"/>
      <c r="L15" s="43"/>
    </row>
    <row r="16" spans="1:13" x14ac:dyDescent="0.25">
      <c r="D16" s="143"/>
      <c r="E16" s="142"/>
      <c r="F16" s="142"/>
      <c r="G16" s="142"/>
      <c r="H16" s="142"/>
      <c r="I16" s="141"/>
      <c r="K16" s="43"/>
      <c r="L16" s="43"/>
    </row>
    <row r="17" spans="1:12" x14ac:dyDescent="0.25">
      <c r="D17" s="137"/>
      <c r="E17" s="5" t="s">
        <v>7</v>
      </c>
      <c r="I17" s="135"/>
      <c r="K17" s="43"/>
      <c r="L17" s="43"/>
    </row>
    <row r="18" spans="1:12" x14ac:dyDescent="0.25">
      <c r="D18" s="137"/>
      <c r="E18" s="7" t="s">
        <v>8</v>
      </c>
      <c r="F18" s="136" t="s">
        <v>9</v>
      </c>
      <c r="I18" s="135"/>
      <c r="K18" s="43"/>
      <c r="L18" s="43"/>
    </row>
    <row r="19" spans="1:12" x14ac:dyDescent="0.25">
      <c r="D19" s="137"/>
      <c r="E19" s="140" t="s">
        <v>10</v>
      </c>
      <c r="F19" s="136" t="s">
        <v>11</v>
      </c>
      <c r="I19" s="135"/>
      <c r="K19" s="43"/>
      <c r="L19" s="43"/>
    </row>
    <row r="20" spans="1:12" x14ac:dyDescent="0.25">
      <c r="D20" s="137"/>
      <c r="E20" s="139" t="s">
        <v>12</v>
      </c>
      <c r="F20" s="136" t="s">
        <v>13</v>
      </c>
      <c r="I20" s="135"/>
      <c r="K20" s="43"/>
      <c r="L20" s="43"/>
    </row>
    <row r="21" spans="1:12" x14ac:dyDescent="0.25">
      <c r="D21" s="137"/>
      <c r="E21" s="138" t="s">
        <v>14</v>
      </c>
      <c r="F21" s="136" t="s">
        <v>15</v>
      </c>
      <c r="I21" s="135"/>
      <c r="K21" s="43"/>
      <c r="L21" s="43"/>
    </row>
    <row r="22" spans="1:12" x14ac:dyDescent="0.25">
      <c r="D22" s="137"/>
      <c r="I22" s="135"/>
      <c r="K22" s="43"/>
      <c r="L22" s="43"/>
    </row>
    <row r="23" spans="1:12" ht="15.75" thickBot="1" x14ac:dyDescent="0.3">
      <c r="D23" s="134"/>
      <c r="E23" s="133"/>
      <c r="F23" s="133"/>
      <c r="G23" s="133"/>
      <c r="H23" s="133"/>
      <c r="I23" s="132"/>
      <c r="K23" s="43"/>
      <c r="L23" s="43"/>
    </row>
    <row r="24" spans="1:12" x14ac:dyDescent="0.25">
      <c r="C24" s="70"/>
      <c r="K24" s="43"/>
      <c r="L24" s="43"/>
    </row>
    <row r="25" spans="1:12" ht="3" customHeight="1" x14ac:dyDescent="0.25">
      <c r="K25" s="43"/>
      <c r="L25" s="43"/>
    </row>
    <row r="26" spans="1:12" x14ac:dyDescent="0.25">
      <c r="A26" s="219"/>
      <c r="K26" s="43"/>
      <c r="L26" s="43"/>
    </row>
    <row r="27" spans="1:12" x14ac:dyDescent="0.25">
      <c r="K27" s="43"/>
      <c r="L27" s="43"/>
    </row>
    <row r="28" spans="1:12" x14ac:dyDescent="0.25">
      <c r="K28" s="43"/>
      <c r="L28" s="43"/>
    </row>
    <row r="29" spans="1:12" x14ac:dyDescent="0.25">
      <c r="K29" s="43"/>
      <c r="L29" s="43"/>
    </row>
    <row r="30" spans="1:12" x14ac:dyDescent="0.25">
      <c r="K30" s="43"/>
      <c r="L30" s="43"/>
    </row>
    <row r="31" spans="1:12" ht="3" customHeight="1" x14ac:dyDescent="0.25">
      <c r="K31" s="43"/>
      <c r="L31" s="43"/>
    </row>
    <row r="36" ht="5.25" customHeight="1" x14ac:dyDescent="0.25"/>
  </sheetData>
  <pageMargins left="0.7" right="0.7" top="0.75" bottom="0.75" header="0.3" footer="0.3"/>
  <pageSetup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I611"/>
  <sheetViews>
    <sheetView topLeftCell="A32" workbookViewId="0">
      <selection activeCell="AC78" sqref="AC78"/>
    </sheetView>
  </sheetViews>
  <sheetFormatPr defaultColWidth="10" defaultRowHeight="15" outlineLevelCol="1" x14ac:dyDescent="0.25"/>
  <cols>
    <col min="1" max="1" width="3" customWidth="1"/>
    <col min="2" max="2" width="8" bestFit="1" customWidth="1"/>
    <col min="3" max="3" width="56" customWidth="1"/>
    <col min="4" max="4" width="19.42578125" style="78" bestFit="1" customWidth="1"/>
    <col min="5" max="5" width="3" customWidth="1"/>
    <col min="6" max="6" width="9" style="77" customWidth="1" outlineLevel="1"/>
    <col min="7" max="8" width="10" style="77" customWidth="1" outlineLevel="1"/>
    <col min="9" max="9" width="9.42578125" style="77" customWidth="1" outlineLevel="1"/>
    <col min="10" max="17" width="10" style="77" customWidth="1" outlineLevel="1"/>
    <col min="18" max="18" width="6.42578125" customWidth="1"/>
    <col min="19" max="21" width="16.42578125" style="77" bestFit="1" customWidth="1"/>
    <col min="22" max="22" width="16.42578125" style="189" bestFit="1" customWidth="1"/>
    <col min="23" max="30" width="16.42578125" style="77" bestFit="1" customWidth="1"/>
    <col min="31" max="31" width="13.42578125" customWidth="1"/>
    <col min="32" max="32" width="18.5703125" bestFit="1" customWidth="1"/>
    <col min="33" max="33" width="10.42578125" bestFit="1" customWidth="1"/>
  </cols>
  <sheetData>
    <row r="1" spans="2:34" x14ac:dyDescent="0.25">
      <c r="V1" s="77"/>
    </row>
    <row r="2" spans="2:34" ht="15.75" thickBot="1" x14ac:dyDescent="0.3">
      <c r="C2" s="94" t="s">
        <v>165</v>
      </c>
      <c r="D2" s="94"/>
      <c r="F2" s="314" t="s">
        <v>166</v>
      </c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S2" s="183" t="s">
        <v>192</v>
      </c>
      <c r="T2" s="183"/>
      <c r="U2" s="183"/>
      <c r="V2" s="188"/>
      <c r="W2" s="183"/>
      <c r="X2" s="183"/>
      <c r="Y2" s="183"/>
      <c r="Z2" s="183"/>
      <c r="AA2" s="183"/>
      <c r="AB2" s="183"/>
      <c r="AC2" s="183"/>
      <c r="AD2" s="183"/>
    </row>
    <row r="3" spans="2:34" ht="15.75" thickTop="1" x14ac:dyDescent="0.25">
      <c r="C3" s="93" t="s">
        <v>147</v>
      </c>
      <c r="D3" s="93"/>
      <c r="F3" s="92" t="s">
        <v>148</v>
      </c>
      <c r="G3" s="92" t="s">
        <v>148</v>
      </c>
      <c r="H3" s="92" t="s">
        <v>148</v>
      </c>
      <c r="I3" s="92" t="s">
        <v>149</v>
      </c>
      <c r="J3" s="92" t="s">
        <v>149</v>
      </c>
      <c r="K3" s="92" t="s">
        <v>149</v>
      </c>
      <c r="L3" s="92" t="s">
        <v>150</v>
      </c>
      <c r="M3" s="92" t="s">
        <v>150</v>
      </c>
      <c r="N3" s="92" t="s">
        <v>150</v>
      </c>
      <c r="O3" s="92" t="s">
        <v>151</v>
      </c>
      <c r="P3" s="92" t="s">
        <v>151</v>
      </c>
      <c r="Q3" s="92" t="s">
        <v>151</v>
      </c>
      <c r="S3" s="92" t="s">
        <v>148</v>
      </c>
      <c r="T3" s="92" t="s">
        <v>148</v>
      </c>
      <c r="U3" s="92" t="s">
        <v>148</v>
      </c>
      <c r="V3" s="92" t="s">
        <v>149</v>
      </c>
      <c r="W3" s="92" t="s">
        <v>149</v>
      </c>
      <c r="X3" s="92" t="s">
        <v>149</v>
      </c>
      <c r="Y3" s="92" t="s">
        <v>150</v>
      </c>
      <c r="Z3" s="92" t="s">
        <v>150</v>
      </c>
      <c r="AA3" s="92" t="s">
        <v>150</v>
      </c>
      <c r="AB3" s="92" t="s">
        <v>151</v>
      </c>
      <c r="AC3" s="92" t="s">
        <v>151</v>
      </c>
      <c r="AD3" s="92" t="s">
        <v>151</v>
      </c>
    </row>
    <row r="4" spans="2:34" x14ac:dyDescent="0.25">
      <c r="C4" s="61" t="s">
        <v>152</v>
      </c>
      <c r="D4" s="91" t="s">
        <v>191</v>
      </c>
      <c r="F4" s="281">
        <v>45474</v>
      </c>
      <c r="G4" s="281">
        <v>45505</v>
      </c>
      <c r="H4" s="281">
        <v>45536</v>
      </c>
      <c r="I4" s="281">
        <v>45566</v>
      </c>
      <c r="J4" s="281">
        <v>45597</v>
      </c>
      <c r="K4" s="281">
        <v>45627</v>
      </c>
      <c r="L4" s="281">
        <v>45658</v>
      </c>
      <c r="M4" s="281">
        <v>45689</v>
      </c>
      <c r="N4" s="281">
        <v>45717</v>
      </c>
      <c r="O4" s="281">
        <v>45748</v>
      </c>
      <c r="P4" s="281">
        <v>45778</v>
      </c>
      <c r="Q4" s="281">
        <v>45809</v>
      </c>
      <c r="S4" s="90">
        <v>45474</v>
      </c>
      <c r="T4" s="90">
        <v>45505</v>
      </c>
      <c r="U4" s="90">
        <v>45536</v>
      </c>
      <c r="V4" s="90">
        <v>45566</v>
      </c>
      <c r="W4" s="90">
        <v>45597</v>
      </c>
      <c r="X4" s="90">
        <v>45627</v>
      </c>
      <c r="Y4" s="90">
        <v>45658</v>
      </c>
      <c r="Z4" s="90">
        <v>45689</v>
      </c>
      <c r="AA4" s="90">
        <v>45717</v>
      </c>
      <c r="AB4" s="90">
        <v>45748</v>
      </c>
      <c r="AC4" s="90">
        <v>45778</v>
      </c>
      <c r="AD4" s="90">
        <v>45809</v>
      </c>
      <c r="AF4" t="s">
        <v>167</v>
      </c>
      <c r="AG4" t="s">
        <v>168</v>
      </c>
      <c r="AH4" s="275" t="s">
        <v>204</v>
      </c>
    </row>
    <row r="5" spans="2:34" x14ac:dyDescent="0.25">
      <c r="C5" s="62" t="s">
        <v>169</v>
      </c>
      <c r="D5" s="89"/>
      <c r="E5" s="51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H5" s="275"/>
    </row>
    <row r="6" spans="2:34" x14ac:dyDescent="0.25">
      <c r="B6">
        <v>40</v>
      </c>
      <c r="C6" s="63" t="s">
        <v>74</v>
      </c>
      <c r="D6" s="84">
        <f>1894752*0</f>
        <v>0</v>
      </c>
      <c r="E6" s="81"/>
      <c r="F6" s="199">
        <v>8.3333333333333329E-2</v>
      </c>
      <c r="G6" s="199">
        <v>8.3333333333333329E-2</v>
      </c>
      <c r="H6" s="199">
        <v>8.3333333333333329E-2</v>
      </c>
      <c r="I6" s="199">
        <v>8.3333333333333329E-2</v>
      </c>
      <c r="J6" s="199">
        <v>8.3333333333333329E-2</v>
      </c>
      <c r="K6" s="199">
        <v>8.3333333333333329E-2</v>
      </c>
      <c r="L6" s="199">
        <v>8.3333333333333329E-2</v>
      </c>
      <c r="M6" s="199">
        <v>8.3333333333333329E-2</v>
      </c>
      <c r="N6" s="199">
        <v>8.3333333333333329E-2</v>
      </c>
      <c r="O6" s="199">
        <v>8.3333333333333329E-2</v>
      </c>
      <c r="P6" s="199">
        <v>8.3333333333333329E-2</v>
      </c>
      <c r="Q6" s="199">
        <v>8.3333333333333329E-2</v>
      </c>
      <c r="S6" s="295">
        <f t="shared" ref="S6:AD8" si="0">IFERROR($D6*F6,"")</f>
        <v>0</v>
      </c>
      <c r="T6" s="295">
        <f t="shared" si="0"/>
        <v>0</v>
      </c>
      <c r="U6" s="295">
        <f t="shared" si="0"/>
        <v>0</v>
      </c>
      <c r="V6" s="295">
        <f t="shared" si="0"/>
        <v>0</v>
      </c>
      <c r="W6" s="295">
        <f t="shared" si="0"/>
        <v>0</v>
      </c>
      <c r="X6" s="295">
        <f t="shared" si="0"/>
        <v>0</v>
      </c>
      <c r="Y6" s="295">
        <f t="shared" si="0"/>
        <v>0</v>
      </c>
      <c r="Z6" s="295">
        <f t="shared" si="0"/>
        <v>0</v>
      </c>
      <c r="AA6" s="295">
        <f t="shared" si="0"/>
        <v>0</v>
      </c>
      <c r="AB6" s="295">
        <f t="shared" si="0"/>
        <v>0</v>
      </c>
      <c r="AC6" s="295">
        <f t="shared" si="0"/>
        <v>0</v>
      </c>
      <c r="AD6" s="295">
        <f t="shared" si="0"/>
        <v>0</v>
      </c>
      <c r="AF6" s="83">
        <f>ROUND(SUM(S6:AD6),0)</f>
        <v>0</v>
      </c>
      <c r="AG6" s="82" t="b">
        <f>AF6=D6</f>
        <v>1</v>
      </c>
      <c r="AH6" s="275">
        <f>AF6-D6</f>
        <v>0</v>
      </c>
    </row>
    <row r="7" spans="2:34" x14ac:dyDescent="0.25">
      <c r="B7">
        <f>+MAX($B$1:B6)+1</f>
        <v>41</v>
      </c>
      <c r="C7" s="63" t="s">
        <v>170</v>
      </c>
      <c r="D7" s="84">
        <f>536270*0</f>
        <v>0</v>
      </c>
      <c r="E7" s="81"/>
      <c r="F7" s="199">
        <v>8.3333333333333329E-2</v>
      </c>
      <c r="G7" s="199">
        <v>8.3333333333333329E-2</v>
      </c>
      <c r="H7" s="199">
        <v>8.3333333333333329E-2</v>
      </c>
      <c r="I7" s="199">
        <v>8.3333333333333329E-2</v>
      </c>
      <c r="J7" s="199">
        <v>8.3333333333333329E-2</v>
      </c>
      <c r="K7" s="199">
        <v>8.3333333333333329E-2</v>
      </c>
      <c r="L7" s="199">
        <v>8.3333333333333329E-2</v>
      </c>
      <c r="M7" s="199">
        <v>8.3333333333333329E-2</v>
      </c>
      <c r="N7" s="199">
        <v>8.3333333333333329E-2</v>
      </c>
      <c r="O7" s="199">
        <v>8.3333333333333329E-2</v>
      </c>
      <c r="P7" s="199">
        <v>8.3333333333333329E-2</v>
      </c>
      <c r="Q7" s="199">
        <v>8.3333333333333329E-2</v>
      </c>
      <c r="S7" s="295">
        <f t="shared" si="0"/>
        <v>0</v>
      </c>
      <c r="T7" s="295">
        <f t="shared" si="0"/>
        <v>0</v>
      </c>
      <c r="U7" s="295">
        <f t="shared" si="0"/>
        <v>0</v>
      </c>
      <c r="V7" s="295">
        <f t="shared" si="0"/>
        <v>0</v>
      </c>
      <c r="W7" s="295">
        <f t="shared" si="0"/>
        <v>0</v>
      </c>
      <c r="X7" s="295">
        <f t="shared" si="0"/>
        <v>0</v>
      </c>
      <c r="Y7" s="295">
        <f t="shared" si="0"/>
        <v>0</v>
      </c>
      <c r="Z7" s="295">
        <f t="shared" si="0"/>
        <v>0</v>
      </c>
      <c r="AA7" s="295">
        <f t="shared" si="0"/>
        <v>0</v>
      </c>
      <c r="AB7" s="295">
        <f t="shared" si="0"/>
        <v>0</v>
      </c>
      <c r="AC7" s="295">
        <f t="shared" si="0"/>
        <v>0</v>
      </c>
      <c r="AD7" s="295">
        <f t="shared" si="0"/>
        <v>0</v>
      </c>
      <c r="AF7" s="83">
        <f t="shared" ref="AF7:AF9" si="1">ROUND(SUM(S7:AD7),0)</f>
        <v>0</v>
      </c>
      <c r="AG7" s="82" t="b">
        <f>AF7=D7</f>
        <v>1</v>
      </c>
      <c r="AH7" s="275">
        <f>AF7-D7</f>
        <v>0</v>
      </c>
    </row>
    <row r="8" spans="2:34" x14ac:dyDescent="0.25">
      <c r="B8">
        <f>+MAX($B$1:B7)+1</f>
        <v>42</v>
      </c>
      <c r="C8" s="64" t="s">
        <v>171</v>
      </c>
      <c r="D8" s="87">
        <f>88790*0</f>
        <v>0</v>
      </c>
      <c r="E8" s="81"/>
      <c r="F8" s="199">
        <v>8.3333333333333329E-2</v>
      </c>
      <c r="G8" s="199">
        <v>8.3333333333333329E-2</v>
      </c>
      <c r="H8" s="199">
        <v>8.3333333333333329E-2</v>
      </c>
      <c r="I8" s="199">
        <v>8.3333333333333329E-2</v>
      </c>
      <c r="J8" s="199">
        <v>8.3333333333333329E-2</v>
      </c>
      <c r="K8" s="199">
        <v>8.3333333333333329E-2</v>
      </c>
      <c r="L8" s="199">
        <v>8.3333333333333329E-2</v>
      </c>
      <c r="M8" s="199">
        <v>8.3333333333333329E-2</v>
      </c>
      <c r="N8" s="199">
        <v>8.3333333333333329E-2</v>
      </c>
      <c r="O8" s="199">
        <v>8.3333333333333329E-2</v>
      </c>
      <c r="P8" s="199">
        <v>8.3333333333333329E-2</v>
      </c>
      <c r="Q8" s="199">
        <v>8.3333333333333329E-2</v>
      </c>
      <c r="S8" s="295">
        <f t="shared" si="0"/>
        <v>0</v>
      </c>
      <c r="T8" s="295">
        <f t="shared" si="0"/>
        <v>0</v>
      </c>
      <c r="U8" s="295">
        <f t="shared" si="0"/>
        <v>0</v>
      </c>
      <c r="V8" s="295">
        <f t="shared" si="0"/>
        <v>0</v>
      </c>
      <c r="W8" s="295">
        <f t="shared" si="0"/>
        <v>0</v>
      </c>
      <c r="X8" s="295">
        <f t="shared" si="0"/>
        <v>0</v>
      </c>
      <c r="Y8" s="295">
        <f t="shared" si="0"/>
        <v>0</v>
      </c>
      <c r="Z8" s="295">
        <f t="shared" si="0"/>
        <v>0</v>
      </c>
      <c r="AA8" s="295">
        <f t="shared" si="0"/>
        <v>0</v>
      </c>
      <c r="AB8" s="295">
        <f t="shared" si="0"/>
        <v>0</v>
      </c>
      <c r="AC8" s="295">
        <f t="shared" si="0"/>
        <v>0</v>
      </c>
      <c r="AD8" s="295">
        <f t="shared" si="0"/>
        <v>0</v>
      </c>
      <c r="AF8" s="83">
        <f t="shared" si="1"/>
        <v>0</v>
      </c>
      <c r="AG8" s="82" t="b">
        <f>AF8=D8</f>
        <v>1</v>
      </c>
      <c r="AH8" s="275">
        <f>AF8-D8</f>
        <v>0</v>
      </c>
    </row>
    <row r="9" spans="2:34" x14ac:dyDescent="0.25">
      <c r="C9" s="65" t="s">
        <v>172</v>
      </c>
      <c r="D9" s="86">
        <f>SUM(D6:D8)</f>
        <v>0</v>
      </c>
      <c r="E9" s="19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S9" s="197">
        <f>SUM(S6:S8)</f>
        <v>0</v>
      </c>
      <c r="T9" s="198">
        <f t="shared" ref="T9:AD9" si="2">SUM(T6:T8)</f>
        <v>0</v>
      </c>
      <c r="U9" s="198">
        <f t="shared" si="2"/>
        <v>0</v>
      </c>
      <c r="V9" s="198">
        <f t="shared" si="2"/>
        <v>0</v>
      </c>
      <c r="W9" s="198">
        <f t="shared" si="2"/>
        <v>0</v>
      </c>
      <c r="X9" s="198">
        <f t="shared" si="2"/>
        <v>0</v>
      </c>
      <c r="Y9" s="198">
        <f t="shared" si="2"/>
        <v>0</v>
      </c>
      <c r="Z9" s="198">
        <f t="shared" si="2"/>
        <v>0</v>
      </c>
      <c r="AA9" s="198">
        <f t="shared" si="2"/>
        <v>0</v>
      </c>
      <c r="AB9" s="198">
        <f t="shared" si="2"/>
        <v>0</v>
      </c>
      <c r="AC9" s="198">
        <f t="shared" si="2"/>
        <v>0</v>
      </c>
      <c r="AD9" s="198">
        <f t="shared" si="2"/>
        <v>0</v>
      </c>
      <c r="AF9" s="83">
        <f t="shared" si="1"/>
        <v>0</v>
      </c>
      <c r="AG9" s="82" t="b">
        <f>AF9=D9</f>
        <v>1</v>
      </c>
      <c r="AH9" s="275">
        <f>AF9-D9</f>
        <v>0</v>
      </c>
    </row>
    <row r="10" spans="2:34" x14ac:dyDescent="0.25">
      <c r="C10" s="47"/>
      <c r="D10" s="88"/>
      <c r="E10" s="81"/>
      <c r="H10" s="1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F10" s="83"/>
      <c r="AG10" s="82"/>
    </row>
    <row r="11" spans="2:34" x14ac:dyDescent="0.25">
      <c r="C11" s="66" t="s">
        <v>173</v>
      </c>
      <c r="D11" s="88"/>
      <c r="E11" s="81"/>
      <c r="H11" s="1"/>
      <c r="S11" s="297"/>
      <c r="T11" s="296"/>
      <c r="U11" s="296"/>
      <c r="V11" s="298"/>
      <c r="W11" s="296"/>
      <c r="X11" s="296"/>
      <c r="Y11" s="296"/>
      <c r="Z11" s="296"/>
      <c r="AA11" s="296"/>
      <c r="AB11" s="296"/>
      <c r="AC11" s="296"/>
      <c r="AD11" s="296"/>
      <c r="AF11" s="83"/>
      <c r="AG11" s="82"/>
    </row>
    <row r="12" spans="2:34" x14ac:dyDescent="0.25">
      <c r="C12" s="65" t="s">
        <v>174</v>
      </c>
      <c r="D12" s="88"/>
      <c r="E12" s="81"/>
      <c r="H12" s="1"/>
      <c r="S12" s="296"/>
      <c r="T12" s="296"/>
      <c r="U12" s="296"/>
      <c r="V12" s="299"/>
      <c r="W12" s="296"/>
      <c r="X12" s="296"/>
      <c r="Y12" s="296"/>
      <c r="Z12" s="296"/>
      <c r="AA12" s="296"/>
      <c r="AB12" s="296"/>
      <c r="AC12" s="296"/>
      <c r="AD12" s="296"/>
      <c r="AF12" s="83"/>
      <c r="AG12" s="82"/>
    </row>
    <row r="13" spans="2:34" x14ac:dyDescent="0.25">
      <c r="B13">
        <f>+MAX($B$1:B12)+1</f>
        <v>43</v>
      </c>
      <c r="C13" s="64" t="s">
        <v>80</v>
      </c>
      <c r="D13" s="84">
        <f>75404*0</f>
        <v>0</v>
      </c>
      <c r="E13" s="81"/>
      <c r="F13" s="199">
        <v>8.3333333333333329E-2</v>
      </c>
      <c r="G13" s="199">
        <v>8.3333333333333329E-2</v>
      </c>
      <c r="H13" s="199">
        <v>8.3333333333333329E-2</v>
      </c>
      <c r="I13" s="199">
        <v>8.3333333333333329E-2</v>
      </c>
      <c r="J13" s="199">
        <v>8.3333333333333329E-2</v>
      </c>
      <c r="K13" s="199">
        <v>8.3333333333333329E-2</v>
      </c>
      <c r="L13" s="199">
        <v>8.3333333333333329E-2</v>
      </c>
      <c r="M13" s="199">
        <v>8.3333333333333329E-2</v>
      </c>
      <c r="N13" s="199">
        <v>8.3333333333333329E-2</v>
      </c>
      <c r="O13" s="199">
        <v>8.3333333333333329E-2</v>
      </c>
      <c r="P13" s="199">
        <v>8.3333333333333329E-2</v>
      </c>
      <c r="Q13" s="199">
        <v>8.3333333333333329E-2</v>
      </c>
      <c r="S13" s="84">
        <f>IFERROR($D13*F13,"")</f>
        <v>0</v>
      </c>
      <c r="T13" s="84">
        <f t="shared" ref="T13:AD17" si="3">IFERROR($D13*G13," ")</f>
        <v>0</v>
      </c>
      <c r="U13" s="184">
        <f t="shared" si="3"/>
        <v>0</v>
      </c>
      <c r="V13" s="243">
        <f t="shared" si="3"/>
        <v>0</v>
      </c>
      <c r="W13" s="84">
        <f t="shared" si="3"/>
        <v>0</v>
      </c>
      <c r="X13" s="84">
        <f t="shared" si="3"/>
        <v>0</v>
      </c>
      <c r="Y13" s="84">
        <f t="shared" si="3"/>
        <v>0</v>
      </c>
      <c r="Z13" s="84">
        <f t="shared" si="3"/>
        <v>0</v>
      </c>
      <c r="AA13" s="84">
        <f t="shared" si="3"/>
        <v>0</v>
      </c>
      <c r="AB13" s="84">
        <f t="shared" si="3"/>
        <v>0</v>
      </c>
      <c r="AC13" s="84">
        <f t="shared" si="3"/>
        <v>0</v>
      </c>
      <c r="AD13" s="84">
        <f t="shared" si="3"/>
        <v>0</v>
      </c>
      <c r="AF13" s="83">
        <f>SUM(S13:AD13)</f>
        <v>0</v>
      </c>
      <c r="AG13" s="82" t="b">
        <f t="shared" ref="AG13:AG18" si="4">AF13=D13</f>
        <v>1</v>
      </c>
    </row>
    <row r="14" spans="2:34" x14ac:dyDescent="0.25">
      <c r="B14">
        <f>+MAX($B$1:B13)+1</f>
        <v>44</v>
      </c>
      <c r="C14" s="64" t="s">
        <v>81</v>
      </c>
      <c r="D14" s="84">
        <f>71103*0</f>
        <v>0</v>
      </c>
      <c r="E14" s="81"/>
      <c r="F14" s="199">
        <v>8.3333333333333329E-2</v>
      </c>
      <c r="G14" s="199">
        <v>8.3333333333333329E-2</v>
      </c>
      <c r="H14" s="199">
        <v>8.3333333333333329E-2</v>
      </c>
      <c r="I14" s="199">
        <v>8.3333333333333329E-2</v>
      </c>
      <c r="J14" s="199">
        <v>8.3333333333333329E-2</v>
      </c>
      <c r="K14" s="199">
        <v>8.3333333333333329E-2</v>
      </c>
      <c r="L14" s="199">
        <v>8.3333333333333329E-2</v>
      </c>
      <c r="M14" s="199">
        <v>8.3333333333333329E-2</v>
      </c>
      <c r="N14" s="199">
        <v>8.3333333333333329E-2</v>
      </c>
      <c r="O14" s="199">
        <v>8.3333333333333329E-2</v>
      </c>
      <c r="P14" s="199">
        <v>8.3333333333333329E-2</v>
      </c>
      <c r="Q14" s="199">
        <v>8.3333333333333329E-2</v>
      </c>
      <c r="S14" s="84">
        <f t="shared" ref="S14:S17" si="5">IFERROR($D14*F14,"")</f>
        <v>0</v>
      </c>
      <c r="T14" s="84">
        <f t="shared" si="3"/>
        <v>0</v>
      </c>
      <c r="U14" s="184">
        <f t="shared" si="3"/>
        <v>0</v>
      </c>
      <c r="V14" s="243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  <c r="Z14" s="84">
        <f t="shared" si="3"/>
        <v>0</v>
      </c>
      <c r="AA14" s="84">
        <f t="shared" si="3"/>
        <v>0</v>
      </c>
      <c r="AB14" s="84">
        <f t="shared" si="3"/>
        <v>0</v>
      </c>
      <c r="AC14" s="84">
        <f t="shared" si="3"/>
        <v>0</v>
      </c>
      <c r="AD14" s="84">
        <f t="shared" si="3"/>
        <v>0</v>
      </c>
      <c r="AF14" s="83">
        <f t="shared" ref="AF14:AF18" si="6">SUM(S14:AD14)</f>
        <v>0</v>
      </c>
      <c r="AG14" s="82" t="b">
        <f t="shared" si="4"/>
        <v>1</v>
      </c>
    </row>
    <row r="15" spans="2:34" x14ac:dyDescent="0.25">
      <c r="B15">
        <f>+MAX($B$1:B14)+1</f>
        <v>45</v>
      </c>
      <c r="C15" s="64" t="s">
        <v>82</v>
      </c>
      <c r="D15" s="84">
        <f>56826*0</f>
        <v>0</v>
      </c>
      <c r="E15" s="81"/>
      <c r="F15" s="199">
        <v>8.3333333333333329E-2</v>
      </c>
      <c r="G15" s="199">
        <v>8.3333333333333329E-2</v>
      </c>
      <c r="H15" s="199">
        <v>8.3333333333333329E-2</v>
      </c>
      <c r="I15" s="199">
        <v>8.3333333333333329E-2</v>
      </c>
      <c r="J15" s="199">
        <v>8.3333333333333329E-2</v>
      </c>
      <c r="K15" s="199">
        <v>8.3333333333333329E-2</v>
      </c>
      <c r="L15" s="199">
        <v>8.3333333333333329E-2</v>
      </c>
      <c r="M15" s="199">
        <v>8.3333333333333329E-2</v>
      </c>
      <c r="N15" s="199">
        <v>8.3333333333333329E-2</v>
      </c>
      <c r="O15" s="199">
        <v>8.3333333333333329E-2</v>
      </c>
      <c r="P15" s="199">
        <v>8.3333333333333329E-2</v>
      </c>
      <c r="Q15" s="199">
        <v>8.3333333333333329E-2</v>
      </c>
      <c r="S15" s="84">
        <f t="shared" si="5"/>
        <v>0</v>
      </c>
      <c r="T15" s="84">
        <f t="shared" si="3"/>
        <v>0</v>
      </c>
      <c r="U15" s="184">
        <f t="shared" si="3"/>
        <v>0</v>
      </c>
      <c r="V15" s="243">
        <f t="shared" si="3"/>
        <v>0</v>
      </c>
      <c r="W15" s="84">
        <f t="shared" si="3"/>
        <v>0</v>
      </c>
      <c r="X15" s="84">
        <f t="shared" si="3"/>
        <v>0</v>
      </c>
      <c r="Y15" s="84">
        <f t="shared" si="3"/>
        <v>0</v>
      </c>
      <c r="Z15" s="84">
        <f t="shared" si="3"/>
        <v>0</v>
      </c>
      <c r="AA15" s="84">
        <f t="shared" si="3"/>
        <v>0</v>
      </c>
      <c r="AB15" s="84">
        <f t="shared" si="3"/>
        <v>0</v>
      </c>
      <c r="AC15" s="84">
        <f t="shared" si="3"/>
        <v>0</v>
      </c>
      <c r="AD15" s="84">
        <f t="shared" si="3"/>
        <v>0</v>
      </c>
      <c r="AF15" s="83">
        <f t="shared" si="6"/>
        <v>0</v>
      </c>
      <c r="AG15" s="82" t="b">
        <f t="shared" si="4"/>
        <v>1</v>
      </c>
    </row>
    <row r="16" spans="2:34" x14ac:dyDescent="0.25">
      <c r="B16">
        <f>+MAX($B$1:B15)+1</f>
        <v>46</v>
      </c>
      <c r="C16" s="64" t="s">
        <v>83</v>
      </c>
      <c r="D16" s="84">
        <f>85318*0</f>
        <v>0</v>
      </c>
      <c r="E16" s="81"/>
      <c r="F16" s="199">
        <v>8.3333333333333329E-2</v>
      </c>
      <c r="G16" s="199">
        <v>8.3333333333333329E-2</v>
      </c>
      <c r="H16" s="199">
        <v>8.3333333333333329E-2</v>
      </c>
      <c r="I16" s="199">
        <v>8.3333333333333329E-2</v>
      </c>
      <c r="J16" s="199">
        <v>8.3333333333333329E-2</v>
      </c>
      <c r="K16" s="199">
        <v>8.3333333333333329E-2</v>
      </c>
      <c r="L16" s="199">
        <v>8.3333333333333329E-2</v>
      </c>
      <c r="M16" s="199">
        <v>8.3333333333333329E-2</v>
      </c>
      <c r="N16" s="199">
        <v>8.3333333333333329E-2</v>
      </c>
      <c r="O16" s="199">
        <v>8.3333333333333329E-2</v>
      </c>
      <c r="P16" s="199">
        <v>8.3333333333333329E-2</v>
      </c>
      <c r="Q16" s="199">
        <v>8.3333333333333329E-2</v>
      </c>
      <c r="S16" s="84">
        <f t="shared" si="5"/>
        <v>0</v>
      </c>
      <c r="T16" s="84">
        <f t="shared" si="3"/>
        <v>0</v>
      </c>
      <c r="U16" s="184">
        <f t="shared" si="3"/>
        <v>0</v>
      </c>
      <c r="V16" s="243">
        <f t="shared" si="3"/>
        <v>0</v>
      </c>
      <c r="W16" s="84">
        <f t="shared" si="3"/>
        <v>0</v>
      </c>
      <c r="X16" s="84">
        <f t="shared" si="3"/>
        <v>0</v>
      </c>
      <c r="Y16" s="84">
        <f t="shared" si="3"/>
        <v>0</v>
      </c>
      <c r="Z16" s="84">
        <f t="shared" si="3"/>
        <v>0</v>
      </c>
      <c r="AA16" s="84">
        <f t="shared" si="3"/>
        <v>0</v>
      </c>
      <c r="AB16" s="84">
        <f t="shared" si="3"/>
        <v>0</v>
      </c>
      <c r="AC16" s="84">
        <f t="shared" si="3"/>
        <v>0</v>
      </c>
      <c r="AD16" s="84">
        <f t="shared" si="3"/>
        <v>0</v>
      </c>
      <c r="AF16" s="83">
        <f t="shared" si="6"/>
        <v>0</v>
      </c>
      <c r="AG16" s="82" t="b">
        <f t="shared" si="4"/>
        <v>1</v>
      </c>
    </row>
    <row r="17" spans="1:33" x14ac:dyDescent="0.25">
      <c r="A17" s="44"/>
      <c r="B17">
        <f>+MAX($B$1:B16)+1</f>
        <v>47</v>
      </c>
      <c r="C17" s="64" t="s">
        <v>198</v>
      </c>
      <c r="D17" s="84">
        <f>11671*0</f>
        <v>0</v>
      </c>
      <c r="E17" s="81"/>
      <c r="F17" s="199">
        <v>8.3333333333333329E-2</v>
      </c>
      <c r="G17" s="199">
        <v>8.3333333333333329E-2</v>
      </c>
      <c r="H17" s="199">
        <v>8.3333333333333329E-2</v>
      </c>
      <c r="I17" s="199">
        <v>8.3333333333333329E-2</v>
      </c>
      <c r="J17" s="199">
        <v>8.3333333333333329E-2</v>
      </c>
      <c r="K17" s="199">
        <v>8.3333333333333329E-2</v>
      </c>
      <c r="L17" s="199">
        <v>8.3333333333333329E-2</v>
      </c>
      <c r="M17" s="199">
        <v>8.3333333333333329E-2</v>
      </c>
      <c r="N17" s="199">
        <v>8.3333333333333329E-2</v>
      </c>
      <c r="O17" s="199">
        <v>8.3333333333333329E-2</v>
      </c>
      <c r="P17" s="199">
        <v>8.3333333333333329E-2</v>
      </c>
      <c r="Q17" s="199">
        <v>8.3333333333333329E-2</v>
      </c>
      <c r="S17" s="84">
        <f t="shared" si="5"/>
        <v>0</v>
      </c>
      <c r="T17" s="84">
        <f t="shared" si="3"/>
        <v>0</v>
      </c>
      <c r="U17" s="184">
        <f t="shared" si="3"/>
        <v>0</v>
      </c>
      <c r="V17" s="243">
        <f t="shared" si="3"/>
        <v>0</v>
      </c>
      <c r="W17" s="84">
        <f t="shared" si="3"/>
        <v>0</v>
      </c>
      <c r="X17" s="84">
        <f t="shared" si="3"/>
        <v>0</v>
      </c>
      <c r="Y17" s="84">
        <f t="shared" si="3"/>
        <v>0</v>
      </c>
      <c r="Z17" s="84">
        <f t="shared" si="3"/>
        <v>0</v>
      </c>
      <c r="AA17" s="84">
        <f t="shared" si="3"/>
        <v>0</v>
      </c>
      <c r="AB17" s="84">
        <f t="shared" si="3"/>
        <v>0</v>
      </c>
      <c r="AC17" s="84">
        <f t="shared" si="3"/>
        <v>0</v>
      </c>
      <c r="AD17" s="84">
        <f t="shared" si="3"/>
        <v>0</v>
      </c>
      <c r="AF17" s="83">
        <f t="shared" si="6"/>
        <v>0</v>
      </c>
      <c r="AG17" s="82" t="b">
        <f t="shared" si="4"/>
        <v>1</v>
      </c>
    </row>
    <row r="18" spans="1:33" x14ac:dyDescent="0.25">
      <c r="A18" s="67"/>
      <c r="B18" s="67"/>
      <c r="C18" s="68" t="s">
        <v>175</v>
      </c>
      <c r="D18" s="85">
        <f>SUM(D13:D17)</f>
        <v>0</v>
      </c>
      <c r="E18" s="81"/>
      <c r="F18" s="199">
        <v>8.3333333333333329E-2</v>
      </c>
      <c r="G18" s="199">
        <v>8.3333333333333329E-2</v>
      </c>
      <c r="H18" s="199">
        <v>8.3333333333333329E-2</v>
      </c>
      <c r="I18" s="199">
        <v>8.3333333333333329E-2</v>
      </c>
      <c r="J18" s="199">
        <v>8.3333333333333329E-2</v>
      </c>
      <c r="K18" s="199">
        <v>8.3333333333333329E-2</v>
      </c>
      <c r="L18" s="199">
        <v>8.3333333333333329E-2</v>
      </c>
      <c r="M18" s="199">
        <v>8.3333333333333329E-2</v>
      </c>
      <c r="N18" s="199">
        <v>8.3333333333333329E-2</v>
      </c>
      <c r="O18" s="199">
        <v>8.3333333333333329E-2</v>
      </c>
      <c r="P18" s="199">
        <v>8.3333333333333329E-2</v>
      </c>
      <c r="Q18" s="199">
        <v>8.3333333333333329E-2</v>
      </c>
      <c r="R18" s="257"/>
      <c r="S18" s="85">
        <f t="shared" ref="S18:AD18" si="7">SUM(S13:S17)</f>
        <v>0</v>
      </c>
      <c r="T18" s="85">
        <f t="shared" si="7"/>
        <v>0</v>
      </c>
      <c r="U18" s="187">
        <f t="shared" si="7"/>
        <v>0</v>
      </c>
      <c r="V18" s="242">
        <f t="shared" si="7"/>
        <v>0</v>
      </c>
      <c r="W18" s="85">
        <f t="shared" si="7"/>
        <v>0</v>
      </c>
      <c r="X18" s="85">
        <f t="shared" si="7"/>
        <v>0</v>
      </c>
      <c r="Y18" s="85">
        <f t="shared" si="7"/>
        <v>0</v>
      </c>
      <c r="Z18" s="85">
        <f t="shared" si="7"/>
        <v>0</v>
      </c>
      <c r="AA18" s="85">
        <f t="shared" si="7"/>
        <v>0</v>
      </c>
      <c r="AB18" s="85">
        <f t="shared" si="7"/>
        <v>0</v>
      </c>
      <c r="AC18" s="85">
        <f t="shared" si="7"/>
        <v>0</v>
      </c>
      <c r="AD18" s="85">
        <f t="shared" si="7"/>
        <v>0</v>
      </c>
      <c r="AF18" s="83">
        <f t="shared" si="6"/>
        <v>0</v>
      </c>
      <c r="AG18" s="82" t="b">
        <f t="shared" si="4"/>
        <v>1</v>
      </c>
    </row>
    <row r="19" spans="1:33" x14ac:dyDescent="0.25">
      <c r="A19" s="44"/>
      <c r="B19" s="44"/>
      <c r="C19" s="65"/>
      <c r="D19" s="88"/>
      <c r="E19" s="81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S19" s="88"/>
      <c r="T19" s="88"/>
      <c r="U19" s="186"/>
      <c r="V19" s="245"/>
      <c r="W19" s="88"/>
      <c r="X19" s="88"/>
      <c r="Y19" s="88"/>
      <c r="Z19" s="88"/>
      <c r="AA19" s="88"/>
      <c r="AB19" s="88"/>
      <c r="AC19" s="88"/>
      <c r="AD19" s="88"/>
      <c r="AF19" s="83"/>
      <c r="AG19" s="82"/>
    </row>
    <row r="20" spans="1:33" x14ac:dyDescent="0.25">
      <c r="A20" s="44"/>
      <c r="B20" s="44"/>
      <c r="C20" s="66" t="s">
        <v>176</v>
      </c>
      <c r="D20" s="88"/>
      <c r="E20" s="81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S20" s="88"/>
      <c r="T20" s="88"/>
      <c r="U20" s="186"/>
      <c r="V20" s="245"/>
      <c r="W20" s="88"/>
      <c r="X20" s="88"/>
      <c r="Y20" s="88"/>
      <c r="Z20" s="88"/>
      <c r="AA20" s="88"/>
      <c r="AB20" s="88"/>
      <c r="AC20" s="88"/>
      <c r="AD20" s="88"/>
      <c r="AF20" s="83"/>
      <c r="AG20" s="82"/>
    </row>
    <row r="21" spans="1:33" x14ac:dyDescent="0.25">
      <c r="A21" s="44"/>
      <c r="B21" s="44"/>
      <c r="C21" s="65" t="s">
        <v>79</v>
      </c>
      <c r="D21" s="88"/>
      <c r="E21" s="81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S21" s="88"/>
      <c r="T21" s="88"/>
      <c r="U21" s="186"/>
      <c r="V21" s="245"/>
      <c r="W21" s="88"/>
      <c r="X21" s="88"/>
      <c r="Y21" s="88"/>
      <c r="Z21" s="88"/>
      <c r="AA21" s="88"/>
      <c r="AB21" s="88"/>
      <c r="AC21" s="88"/>
      <c r="AD21" s="88"/>
      <c r="AF21" s="83"/>
      <c r="AG21" s="82"/>
    </row>
    <row r="22" spans="1:33" x14ac:dyDescent="0.25">
      <c r="A22" s="44"/>
      <c r="B22">
        <f>+MAX($B$1:B20)+1</f>
        <v>48</v>
      </c>
      <c r="C22" s="64" t="s">
        <v>86</v>
      </c>
      <c r="D22" s="84">
        <f>4662*0</f>
        <v>0</v>
      </c>
      <c r="E22" s="81"/>
      <c r="F22" s="199">
        <v>8.3333333333333329E-2</v>
      </c>
      <c r="G22" s="199">
        <v>8.3333333333333329E-2</v>
      </c>
      <c r="H22" s="199">
        <v>8.3333333333333329E-2</v>
      </c>
      <c r="I22" s="199">
        <v>8.3333333333333329E-2</v>
      </c>
      <c r="J22" s="199">
        <v>8.3333333333333329E-2</v>
      </c>
      <c r="K22" s="199">
        <v>8.3333333333333329E-2</v>
      </c>
      <c r="L22" s="199">
        <v>8.3333333333333329E-2</v>
      </c>
      <c r="M22" s="199">
        <v>8.3333333333333329E-2</v>
      </c>
      <c r="N22" s="199">
        <v>8.3333333333333329E-2</v>
      </c>
      <c r="O22" s="199">
        <v>8.3333333333333329E-2</v>
      </c>
      <c r="P22" s="199">
        <v>8.3333333333333329E-2</v>
      </c>
      <c r="Q22" s="199">
        <v>8.3333333333333329E-2</v>
      </c>
      <c r="S22" s="84">
        <f t="shared" ref="S22:S25" si="8">IFERROR($D22*F22,"")</f>
        <v>0</v>
      </c>
      <c r="T22" s="84">
        <f t="shared" ref="T22:AD25" si="9">IFERROR($D22*G22," ")</f>
        <v>0</v>
      </c>
      <c r="U22" s="184">
        <f t="shared" si="9"/>
        <v>0</v>
      </c>
      <c r="V22" s="243">
        <f t="shared" si="9"/>
        <v>0</v>
      </c>
      <c r="W22" s="84">
        <f t="shared" si="9"/>
        <v>0</v>
      </c>
      <c r="X22" s="84">
        <f t="shared" si="9"/>
        <v>0</v>
      </c>
      <c r="Y22" s="84">
        <f t="shared" si="9"/>
        <v>0</v>
      </c>
      <c r="Z22" s="84">
        <f t="shared" si="9"/>
        <v>0</v>
      </c>
      <c r="AA22" s="84">
        <f t="shared" si="9"/>
        <v>0</v>
      </c>
      <c r="AB22" s="84">
        <f t="shared" si="9"/>
        <v>0</v>
      </c>
      <c r="AC22" s="84">
        <f t="shared" si="9"/>
        <v>0</v>
      </c>
      <c r="AD22" s="84">
        <f t="shared" si="9"/>
        <v>0</v>
      </c>
      <c r="AF22" s="83">
        <f t="shared" ref="AF22:AF26" si="10">SUM(S22:AD22)</f>
        <v>0</v>
      </c>
      <c r="AG22" s="82" t="b">
        <f t="shared" ref="AG22:AG26" si="11">AF22=D22</f>
        <v>1</v>
      </c>
    </row>
    <row r="23" spans="1:33" x14ac:dyDescent="0.25">
      <c r="A23" s="44"/>
      <c r="B23">
        <f>+MAX($B$1:B22)+1</f>
        <v>49</v>
      </c>
      <c r="C23" s="64" t="s">
        <v>87</v>
      </c>
      <c r="D23" s="84">
        <f>2808*0</f>
        <v>0</v>
      </c>
      <c r="E23" s="81"/>
      <c r="F23" s="199">
        <v>8.3333333333333329E-2</v>
      </c>
      <c r="G23" s="199">
        <v>8.3333333333333329E-2</v>
      </c>
      <c r="H23" s="199">
        <v>8.3333333333333329E-2</v>
      </c>
      <c r="I23" s="199">
        <v>8.3333333333333329E-2</v>
      </c>
      <c r="J23" s="199">
        <v>8.3333333333333329E-2</v>
      </c>
      <c r="K23" s="199">
        <v>8.3333333333333329E-2</v>
      </c>
      <c r="L23" s="199">
        <v>8.3333333333333329E-2</v>
      </c>
      <c r="M23" s="199">
        <v>8.3333333333333329E-2</v>
      </c>
      <c r="N23" s="199">
        <v>8.3333333333333329E-2</v>
      </c>
      <c r="O23" s="199">
        <v>8.3333333333333329E-2</v>
      </c>
      <c r="P23" s="199">
        <v>8.3333333333333329E-2</v>
      </c>
      <c r="Q23" s="199">
        <v>8.3333333333333329E-2</v>
      </c>
      <c r="S23" s="84">
        <f t="shared" si="8"/>
        <v>0</v>
      </c>
      <c r="T23" s="84">
        <f t="shared" si="9"/>
        <v>0</v>
      </c>
      <c r="U23" s="184">
        <f t="shared" si="9"/>
        <v>0</v>
      </c>
      <c r="V23" s="243">
        <f t="shared" si="9"/>
        <v>0</v>
      </c>
      <c r="W23" s="84">
        <f t="shared" si="9"/>
        <v>0</v>
      </c>
      <c r="X23" s="84">
        <f t="shared" si="9"/>
        <v>0</v>
      </c>
      <c r="Y23" s="84">
        <f t="shared" si="9"/>
        <v>0</v>
      </c>
      <c r="Z23" s="84">
        <f t="shared" si="9"/>
        <v>0</v>
      </c>
      <c r="AA23" s="84">
        <f t="shared" si="9"/>
        <v>0</v>
      </c>
      <c r="AB23" s="84">
        <f t="shared" si="9"/>
        <v>0</v>
      </c>
      <c r="AC23" s="84">
        <f t="shared" si="9"/>
        <v>0</v>
      </c>
      <c r="AD23" s="84">
        <f t="shared" si="9"/>
        <v>0</v>
      </c>
      <c r="AF23" s="83">
        <f t="shared" si="10"/>
        <v>0</v>
      </c>
      <c r="AG23" s="82" t="b">
        <f t="shared" si="11"/>
        <v>1</v>
      </c>
    </row>
    <row r="24" spans="1:33" x14ac:dyDescent="0.25">
      <c r="A24" s="44"/>
      <c r="B24">
        <f>+MAX($B$1:B23)+1</f>
        <v>50</v>
      </c>
      <c r="C24" s="64" t="s">
        <v>88</v>
      </c>
      <c r="D24" s="84">
        <f>377*0</f>
        <v>0</v>
      </c>
      <c r="E24" s="81"/>
      <c r="F24" s="199">
        <v>8.3333333333333329E-2</v>
      </c>
      <c r="G24" s="199">
        <v>8.3333333333333329E-2</v>
      </c>
      <c r="H24" s="199">
        <v>8.3333333333333329E-2</v>
      </c>
      <c r="I24" s="199">
        <v>8.3333333333333329E-2</v>
      </c>
      <c r="J24" s="199">
        <v>8.3333333333333329E-2</v>
      </c>
      <c r="K24" s="199">
        <v>8.3333333333333329E-2</v>
      </c>
      <c r="L24" s="199">
        <v>8.3333333333333329E-2</v>
      </c>
      <c r="M24" s="199">
        <v>8.3333333333333329E-2</v>
      </c>
      <c r="N24" s="199">
        <v>8.3333333333333329E-2</v>
      </c>
      <c r="O24" s="199">
        <v>8.3333333333333329E-2</v>
      </c>
      <c r="P24" s="199">
        <v>8.3333333333333329E-2</v>
      </c>
      <c r="Q24" s="199">
        <v>8.3333333333333329E-2</v>
      </c>
      <c r="S24" s="84">
        <f t="shared" si="8"/>
        <v>0</v>
      </c>
      <c r="T24" s="84">
        <f t="shared" si="9"/>
        <v>0</v>
      </c>
      <c r="U24" s="184">
        <f t="shared" si="9"/>
        <v>0</v>
      </c>
      <c r="V24" s="243">
        <f t="shared" si="9"/>
        <v>0</v>
      </c>
      <c r="W24" s="84">
        <f t="shared" si="9"/>
        <v>0</v>
      </c>
      <c r="X24" s="84">
        <f t="shared" si="9"/>
        <v>0</v>
      </c>
      <c r="Y24" s="84">
        <f t="shared" si="9"/>
        <v>0</v>
      </c>
      <c r="Z24" s="84">
        <f t="shared" si="9"/>
        <v>0</v>
      </c>
      <c r="AA24" s="84">
        <f t="shared" si="9"/>
        <v>0</v>
      </c>
      <c r="AB24" s="84">
        <f t="shared" si="9"/>
        <v>0</v>
      </c>
      <c r="AC24" s="84">
        <f t="shared" si="9"/>
        <v>0</v>
      </c>
      <c r="AD24" s="84">
        <f t="shared" si="9"/>
        <v>0</v>
      </c>
      <c r="AF24" s="83">
        <f t="shared" si="10"/>
        <v>0</v>
      </c>
      <c r="AG24" s="82" t="b">
        <f t="shared" si="11"/>
        <v>1</v>
      </c>
    </row>
    <row r="25" spans="1:33" x14ac:dyDescent="0.25">
      <c r="A25" s="44"/>
      <c r="B25">
        <f>+MAX($B$1:B24)+1</f>
        <v>51</v>
      </c>
      <c r="C25" s="64" t="s">
        <v>89</v>
      </c>
      <c r="D25" s="84">
        <f>45*0</f>
        <v>0</v>
      </c>
      <c r="E25" s="81"/>
      <c r="F25" s="199">
        <v>8.3333333333333329E-2</v>
      </c>
      <c r="G25" s="199">
        <v>8.3333333333333329E-2</v>
      </c>
      <c r="H25" s="199">
        <v>8.3333333333333329E-2</v>
      </c>
      <c r="I25" s="199">
        <v>8.3333333333333329E-2</v>
      </c>
      <c r="J25" s="199">
        <v>8.3333333333333329E-2</v>
      </c>
      <c r="K25" s="199">
        <v>8.3333333333333329E-2</v>
      </c>
      <c r="L25" s="199">
        <v>8.3333333333333329E-2</v>
      </c>
      <c r="M25" s="199">
        <v>8.3333333333333329E-2</v>
      </c>
      <c r="N25" s="199">
        <v>8.3333333333333329E-2</v>
      </c>
      <c r="O25" s="199">
        <v>8.3333333333333329E-2</v>
      </c>
      <c r="P25" s="199">
        <v>8.3333333333333329E-2</v>
      </c>
      <c r="Q25" s="199">
        <v>8.3333333333333329E-2</v>
      </c>
      <c r="S25" s="84">
        <f t="shared" si="8"/>
        <v>0</v>
      </c>
      <c r="T25" s="84">
        <f t="shared" si="9"/>
        <v>0</v>
      </c>
      <c r="U25" s="184">
        <f t="shared" si="9"/>
        <v>0</v>
      </c>
      <c r="V25" s="243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  <c r="Z25" s="84">
        <f t="shared" si="9"/>
        <v>0</v>
      </c>
      <c r="AA25" s="84">
        <f t="shared" si="9"/>
        <v>0</v>
      </c>
      <c r="AB25" s="84">
        <f t="shared" si="9"/>
        <v>0</v>
      </c>
      <c r="AC25" s="84">
        <f t="shared" si="9"/>
        <v>0</v>
      </c>
      <c r="AD25" s="84">
        <f t="shared" si="9"/>
        <v>0</v>
      </c>
      <c r="AF25" s="83">
        <f t="shared" si="10"/>
        <v>0</v>
      </c>
      <c r="AG25" s="82" t="b">
        <f t="shared" si="11"/>
        <v>1</v>
      </c>
    </row>
    <row r="26" spans="1:33" x14ac:dyDescent="0.25">
      <c r="A26" s="44"/>
      <c r="B26" s="44"/>
      <c r="C26" s="68" t="s">
        <v>177</v>
      </c>
      <c r="D26" s="85">
        <f>SUM(D22:D25)</f>
        <v>0</v>
      </c>
      <c r="E26" s="81"/>
      <c r="F26" s="199">
        <v>8.3333333333333329E-2</v>
      </c>
      <c r="G26" s="199">
        <v>8.3333333333333329E-2</v>
      </c>
      <c r="H26" s="199">
        <v>8.3333333333333329E-2</v>
      </c>
      <c r="I26" s="199">
        <v>8.3333333333333329E-2</v>
      </c>
      <c r="J26" s="199">
        <v>8.3333333333333329E-2</v>
      </c>
      <c r="K26" s="199">
        <v>8.3333333333333329E-2</v>
      </c>
      <c r="L26" s="199">
        <v>8.3333333333333329E-2</v>
      </c>
      <c r="M26" s="199">
        <v>8.3333333333333329E-2</v>
      </c>
      <c r="N26" s="199">
        <v>8.3333333333333329E-2</v>
      </c>
      <c r="O26" s="199">
        <v>8.3333333333333329E-2</v>
      </c>
      <c r="P26" s="199">
        <v>8.3333333333333329E-2</v>
      </c>
      <c r="Q26" s="199">
        <v>8.3333333333333329E-2</v>
      </c>
      <c r="S26" s="85">
        <f t="shared" ref="S26:AD26" si="12">SUM(S22:S25)</f>
        <v>0</v>
      </c>
      <c r="T26" s="85">
        <f t="shared" si="12"/>
        <v>0</v>
      </c>
      <c r="U26" s="187">
        <f t="shared" si="12"/>
        <v>0</v>
      </c>
      <c r="V26" s="242">
        <f t="shared" si="12"/>
        <v>0</v>
      </c>
      <c r="W26" s="85">
        <f t="shared" si="12"/>
        <v>0</v>
      </c>
      <c r="X26" s="85">
        <f t="shared" si="12"/>
        <v>0</v>
      </c>
      <c r="Y26" s="85">
        <f t="shared" si="12"/>
        <v>0</v>
      </c>
      <c r="Z26" s="85">
        <f t="shared" si="12"/>
        <v>0</v>
      </c>
      <c r="AA26" s="85">
        <f t="shared" si="12"/>
        <v>0</v>
      </c>
      <c r="AB26" s="85">
        <f t="shared" si="12"/>
        <v>0</v>
      </c>
      <c r="AC26" s="85">
        <f t="shared" si="12"/>
        <v>0</v>
      </c>
      <c r="AD26" s="85">
        <f t="shared" si="12"/>
        <v>0</v>
      </c>
      <c r="AF26" s="83">
        <f t="shared" si="10"/>
        <v>0</v>
      </c>
      <c r="AG26" s="82" t="b">
        <f t="shared" si="11"/>
        <v>1</v>
      </c>
    </row>
    <row r="27" spans="1:33" x14ac:dyDescent="0.25">
      <c r="A27" s="44"/>
      <c r="B27" s="44"/>
      <c r="C27" s="68"/>
      <c r="D27" s="86"/>
      <c r="E27" s="81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S27" s="86"/>
      <c r="T27" s="86"/>
      <c r="U27" s="185"/>
      <c r="V27" s="244"/>
      <c r="W27" s="86"/>
      <c r="X27" s="86"/>
      <c r="Y27" s="86"/>
      <c r="Z27" s="86"/>
      <c r="AA27" s="86"/>
      <c r="AB27" s="86"/>
      <c r="AC27" s="86"/>
      <c r="AD27" s="86"/>
      <c r="AF27" s="83"/>
      <c r="AG27" s="82"/>
    </row>
    <row r="28" spans="1:33" x14ac:dyDescent="0.25">
      <c r="A28" s="44"/>
      <c r="B28" s="44"/>
      <c r="C28" s="66" t="s">
        <v>90</v>
      </c>
      <c r="D28" s="86"/>
      <c r="E28" s="81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S28" s="86"/>
      <c r="T28" s="86"/>
      <c r="U28" s="185"/>
      <c r="V28" s="244"/>
      <c r="W28" s="86"/>
      <c r="X28" s="86"/>
      <c r="Y28" s="86"/>
      <c r="Z28" s="86"/>
      <c r="AA28" s="86"/>
      <c r="AB28" s="86"/>
      <c r="AC28" s="86"/>
      <c r="AD28" s="86"/>
      <c r="AF28" s="83">
        <f t="shared" ref="AF28:AF44" si="13">SUM(S28:AD28)</f>
        <v>0</v>
      </c>
      <c r="AG28" s="82" t="b">
        <f t="shared" ref="AG28:AG42" si="14">AF28=D28</f>
        <v>1</v>
      </c>
    </row>
    <row r="29" spans="1:33" x14ac:dyDescent="0.25">
      <c r="A29" s="44"/>
      <c r="B29" s="44">
        <f>+MAX($B$1:B28)+1</f>
        <v>52</v>
      </c>
      <c r="C29" s="64" t="s">
        <v>91</v>
      </c>
      <c r="D29" s="84">
        <f>64*0</f>
        <v>0</v>
      </c>
      <c r="E29" s="81"/>
      <c r="F29" s="199">
        <v>8.3333333333333329E-2</v>
      </c>
      <c r="G29" s="199">
        <v>8.3333333333333329E-2</v>
      </c>
      <c r="H29" s="199">
        <v>8.3333333333333329E-2</v>
      </c>
      <c r="I29" s="199">
        <v>8.3333333333333329E-2</v>
      </c>
      <c r="J29" s="199">
        <v>8.3333333333333329E-2</v>
      </c>
      <c r="K29" s="199">
        <v>8.3333333333333329E-2</v>
      </c>
      <c r="L29" s="199">
        <v>8.3333333333333329E-2</v>
      </c>
      <c r="M29" s="199">
        <v>8.3333333333333329E-2</v>
      </c>
      <c r="N29" s="199">
        <v>8.3333333333333329E-2</v>
      </c>
      <c r="O29" s="199">
        <v>8.3333333333333329E-2</v>
      </c>
      <c r="P29" s="199">
        <v>8.3333333333333329E-2</v>
      </c>
      <c r="Q29" s="199">
        <v>8.3333333333333329E-2</v>
      </c>
      <c r="S29" s="84">
        <f>IFERROR($D29*F29,"")</f>
        <v>0</v>
      </c>
      <c r="T29" s="84">
        <f t="shared" ref="T29" si="15">IFERROR($D29*G29," ")</f>
        <v>0</v>
      </c>
      <c r="U29" s="184">
        <f t="shared" ref="U29" si="16">IFERROR($D29*H29," ")</f>
        <v>0</v>
      </c>
      <c r="V29" s="243">
        <f t="shared" ref="V29" si="17">IFERROR($D29*I29," ")</f>
        <v>0</v>
      </c>
      <c r="W29" s="84">
        <f t="shared" ref="W29" si="18">IFERROR($D29*J29," ")</f>
        <v>0</v>
      </c>
      <c r="X29" s="84">
        <f t="shared" ref="X29" si="19">IFERROR($D29*K29," ")</f>
        <v>0</v>
      </c>
      <c r="Y29" s="84">
        <f t="shared" ref="Y29" si="20">IFERROR($D29*L29," ")</f>
        <v>0</v>
      </c>
      <c r="Z29" s="84">
        <f t="shared" ref="Z29" si="21">IFERROR($D29*M29," ")</f>
        <v>0</v>
      </c>
      <c r="AA29" s="84">
        <f t="shared" ref="AA29" si="22">IFERROR($D29*N29," ")</f>
        <v>0</v>
      </c>
      <c r="AB29" s="84">
        <f t="shared" ref="AB29" si="23">IFERROR($D29*O29," ")</f>
        <v>0</v>
      </c>
      <c r="AC29" s="84">
        <f t="shared" ref="AC29" si="24">IFERROR($D29*P29," ")</f>
        <v>0</v>
      </c>
      <c r="AD29" s="84">
        <f t="shared" ref="AD29" si="25">IFERROR($D29*Q29," ")</f>
        <v>0</v>
      </c>
      <c r="AF29" s="83">
        <f t="shared" si="13"/>
        <v>0</v>
      </c>
      <c r="AG29" s="82" t="b">
        <f t="shared" si="14"/>
        <v>1</v>
      </c>
    </row>
    <row r="30" spans="1:33" x14ac:dyDescent="0.25">
      <c r="A30" s="44"/>
      <c r="B30" s="44">
        <f>+MAX($B$1:B29)+1</f>
        <v>53</v>
      </c>
      <c r="C30" s="64" t="s">
        <v>92</v>
      </c>
      <c r="D30" s="84">
        <f>255*0</f>
        <v>0</v>
      </c>
      <c r="E30" s="81"/>
      <c r="F30" s="199">
        <v>8.3333333333333329E-2</v>
      </c>
      <c r="G30" s="199">
        <v>8.3333333333333329E-2</v>
      </c>
      <c r="H30" s="199">
        <v>8.3333333333333329E-2</v>
      </c>
      <c r="I30" s="199">
        <v>8.3333333333333329E-2</v>
      </c>
      <c r="J30" s="199">
        <v>8.3333333333333329E-2</v>
      </c>
      <c r="K30" s="199">
        <v>8.3333333333333329E-2</v>
      </c>
      <c r="L30" s="199">
        <v>8.3333333333333329E-2</v>
      </c>
      <c r="M30" s="199">
        <v>8.3333333333333329E-2</v>
      </c>
      <c r="N30" s="199">
        <v>8.3333333333333329E-2</v>
      </c>
      <c r="O30" s="199">
        <v>8.3333333333333329E-2</v>
      </c>
      <c r="P30" s="199">
        <v>8.3333333333333329E-2</v>
      </c>
      <c r="Q30" s="199">
        <v>8.3333333333333329E-2</v>
      </c>
      <c r="S30" s="84">
        <f t="shared" ref="S30:S39" si="26">IFERROR($D30*F30,"")</f>
        <v>0</v>
      </c>
      <c r="T30" s="84">
        <f t="shared" ref="T30:T39" si="27">IFERROR($D30*G30," ")</f>
        <v>0</v>
      </c>
      <c r="U30" s="184">
        <f t="shared" ref="U30:U39" si="28">IFERROR($D30*H30," ")</f>
        <v>0</v>
      </c>
      <c r="V30" s="243">
        <f t="shared" ref="V30:V39" si="29">IFERROR($D30*I30," ")</f>
        <v>0</v>
      </c>
      <c r="W30" s="84">
        <f t="shared" ref="W30:W39" si="30">IFERROR($D30*J30," ")</f>
        <v>0</v>
      </c>
      <c r="X30" s="84">
        <f t="shared" ref="X30:X39" si="31">IFERROR($D30*K30," ")</f>
        <v>0</v>
      </c>
      <c r="Y30" s="84">
        <f t="shared" ref="Y30:Y39" si="32">IFERROR($D30*L30," ")</f>
        <v>0</v>
      </c>
      <c r="Z30" s="84">
        <f t="shared" ref="Z30:Z39" si="33">IFERROR($D30*M30," ")</f>
        <v>0</v>
      </c>
      <c r="AA30" s="84">
        <f t="shared" ref="AA30:AA39" si="34">IFERROR($D30*N30," ")</f>
        <v>0</v>
      </c>
      <c r="AB30" s="84">
        <f t="shared" ref="AB30:AB39" si="35">IFERROR($D30*O30," ")</f>
        <v>0</v>
      </c>
      <c r="AC30" s="84">
        <f t="shared" ref="AC30:AC39" si="36">IFERROR($D30*P30," ")</f>
        <v>0</v>
      </c>
      <c r="AD30" s="84">
        <f t="shared" ref="AD30:AD39" si="37">IFERROR($D30*Q30," ")</f>
        <v>0</v>
      </c>
      <c r="AF30" s="83">
        <f t="shared" si="13"/>
        <v>0</v>
      </c>
      <c r="AG30" s="82" t="b">
        <f t="shared" si="14"/>
        <v>1</v>
      </c>
    </row>
    <row r="31" spans="1:33" x14ac:dyDescent="0.25">
      <c r="A31" s="44"/>
      <c r="B31" s="44">
        <f>+MAX($B$1:B30)+1</f>
        <v>54</v>
      </c>
      <c r="C31" s="64" t="s">
        <v>93</v>
      </c>
      <c r="D31" s="84">
        <f>7950*0</f>
        <v>0</v>
      </c>
      <c r="E31" s="81"/>
      <c r="F31" s="199">
        <v>8.3333333333333329E-2</v>
      </c>
      <c r="G31" s="199">
        <v>8.3333333333333329E-2</v>
      </c>
      <c r="H31" s="199">
        <v>8.3333333333333329E-2</v>
      </c>
      <c r="I31" s="199">
        <v>8.3333333333333329E-2</v>
      </c>
      <c r="J31" s="199">
        <v>8.3333333333333329E-2</v>
      </c>
      <c r="K31" s="199">
        <v>8.3333333333333329E-2</v>
      </c>
      <c r="L31" s="199">
        <v>8.3333333333333329E-2</v>
      </c>
      <c r="M31" s="199">
        <v>8.3333333333333329E-2</v>
      </c>
      <c r="N31" s="199">
        <v>8.3333333333333329E-2</v>
      </c>
      <c r="O31" s="199">
        <v>8.3333333333333329E-2</v>
      </c>
      <c r="P31" s="199">
        <v>8.3333333333333329E-2</v>
      </c>
      <c r="Q31" s="199">
        <v>8.3333333333333329E-2</v>
      </c>
      <c r="S31" s="84">
        <f t="shared" si="26"/>
        <v>0</v>
      </c>
      <c r="T31" s="84">
        <f t="shared" si="27"/>
        <v>0</v>
      </c>
      <c r="U31" s="184">
        <f t="shared" si="28"/>
        <v>0</v>
      </c>
      <c r="V31" s="243">
        <f t="shared" si="29"/>
        <v>0</v>
      </c>
      <c r="W31" s="84">
        <f t="shared" si="30"/>
        <v>0</v>
      </c>
      <c r="X31" s="84">
        <f t="shared" si="31"/>
        <v>0</v>
      </c>
      <c r="Y31" s="84">
        <f t="shared" si="32"/>
        <v>0</v>
      </c>
      <c r="Z31" s="84">
        <f t="shared" si="33"/>
        <v>0</v>
      </c>
      <c r="AA31" s="84">
        <f t="shared" si="34"/>
        <v>0</v>
      </c>
      <c r="AB31" s="84">
        <f t="shared" si="35"/>
        <v>0</v>
      </c>
      <c r="AC31" s="84">
        <f t="shared" si="36"/>
        <v>0</v>
      </c>
      <c r="AD31" s="84">
        <f t="shared" si="37"/>
        <v>0</v>
      </c>
      <c r="AF31" s="83">
        <f t="shared" si="13"/>
        <v>0</v>
      </c>
      <c r="AG31" s="82" t="b">
        <f t="shared" si="14"/>
        <v>1</v>
      </c>
    </row>
    <row r="32" spans="1:33" x14ac:dyDescent="0.25">
      <c r="A32" s="44"/>
      <c r="B32" s="44">
        <f>+MAX($B$1:B31)+1</f>
        <v>55</v>
      </c>
      <c r="C32" s="64" t="s">
        <v>94</v>
      </c>
      <c r="D32" s="84">
        <f>797*0</f>
        <v>0</v>
      </c>
      <c r="E32" s="81"/>
      <c r="F32" s="199">
        <v>8.3333333333333329E-2</v>
      </c>
      <c r="G32" s="199">
        <v>8.3333333333333329E-2</v>
      </c>
      <c r="H32" s="199">
        <v>8.3333333333333329E-2</v>
      </c>
      <c r="I32" s="199">
        <v>8.3333333333333329E-2</v>
      </c>
      <c r="J32" s="199">
        <v>8.3333333333333329E-2</v>
      </c>
      <c r="K32" s="199">
        <v>8.3333333333333329E-2</v>
      </c>
      <c r="L32" s="199">
        <v>8.3333333333333329E-2</v>
      </c>
      <c r="M32" s="199">
        <v>8.3333333333333329E-2</v>
      </c>
      <c r="N32" s="199">
        <v>8.3333333333333329E-2</v>
      </c>
      <c r="O32" s="199">
        <v>8.3333333333333329E-2</v>
      </c>
      <c r="P32" s="199">
        <v>8.3333333333333329E-2</v>
      </c>
      <c r="Q32" s="199">
        <v>8.3333333333333329E-2</v>
      </c>
      <c r="S32" s="84">
        <f t="shared" si="26"/>
        <v>0</v>
      </c>
      <c r="T32" s="84">
        <f t="shared" si="27"/>
        <v>0</v>
      </c>
      <c r="U32" s="184">
        <f t="shared" si="28"/>
        <v>0</v>
      </c>
      <c r="V32" s="243">
        <f t="shared" si="29"/>
        <v>0</v>
      </c>
      <c r="W32" s="84">
        <f t="shared" si="30"/>
        <v>0</v>
      </c>
      <c r="X32" s="84">
        <f t="shared" si="31"/>
        <v>0</v>
      </c>
      <c r="Y32" s="84">
        <f t="shared" si="32"/>
        <v>0</v>
      </c>
      <c r="Z32" s="84">
        <f t="shared" si="33"/>
        <v>0</v>
      </c>
      <c r="AA32" s="84">
        <f t="shared" si="34"/>
        <v>0</v>
      </c>
      <c r="AB32" s="84">
        <f t="shared" si="35"/>
        <v>0</v>
      </c>
      <c r="AC32" s="84">
        <f t="shared" si="36"/>
        <v>0</v>
      </c>
      <c r="AD32" s="84">
        <f t="shared" si="37"/>
        <v>0</v>
      </c>
      <c r="AF32" s="83">
        <f t="shared" si="13"/>
        <v>0</v>
      </c>
      <c r="AG32" s="82" t="b">
        <f t="shared" si="14"/>
        <v>1</v>
      </c>
    </row>
    <row r="33" spans="1:33" x14ac:dyDescent="0.25">
      <c r="A33" s="44"/>
      <c r="B33" s="44">
        <f>+MAX($B$1:B32)+1</f>
        <v>56</v>
      </c>
      <c r="C33" s="64" t="s">
        <v>95</v>
      </c>
      <c r="D33" s="84">
        <f>72*0</f>
        <v>0</v>
      </c>
      <c r="E33" s="81"/>
      <c r="F33" s="199">
        <v>8.3333333333333329E-2</v>
      </c>
      <c r="G33" s="199">
        <v>8.3333333333333329E-2</v>
      </c>
      <c r="H33" s="199">
        <v>8.3333333333333329E-2</v>
      </c>
      <c r="I33" s="199">
        <v>8.3333333333333329E-2</v>
      </c>
      <c r="J33" s="199">
        <v>8.3333333333333329E-2</v>
      </c>
      <c r="K33" s="199">
        <v>8.3333333333333329E-2</v>
      </c>
      <c r="L33" s="199">
        <v>8.3333333333333329E-2</v>
      </c>
      <c r="M33" s="199">
        <v>8.3333333333333329E-2</v>
      </c>
      <c r="N33" s="199">
        <v>8.3333333333333329E-2</v>
      </c>
      <c r="O33" s="199">
        <v>8.3333333333333329E-2</v>
      </c>
      <c r="P33" s="199">
        <v>8.3333333333333329E-2</v>
      </c>
      <c r="Q33" s="199">
        <v>8.3333333333333329E-2</v>
      </c>
      <c r="S33" s="84">
        <f t="shared" si="26"/>
        <v>0</v>
      </c>
      <c r="T33" s="84">
        <f t="shared" si="27"/>
        <v>0</v>
      </c>
      <c r="U33" s="184">
        <f t="shared" si="28"/>
        <v>0</v>
      </c>
      <c r="V33" s="243">
        <f t="shared" si="29"/>
        <v>0</v>
      </c>
      <c r="W33" s="84">
        <f t="shared" si="30"/>
        <v>0</v>
      </c>
      <c r="X33" s="84">
        <f t="shared" si="31"/>
        <v>0</v>
      </c>
      <c r="Y33" s="84">
        <f t="shared" si="32"/>
        <v>0</v>
      </c>
      <c r="Z33" s="84">
        <f t="shared" si="33"/>
        <v>0</v>
      </c>
      <c r="AA33" s="84">
        <f t="shared" si="34"/>
        <v>0</v>
      </c>
      <c r="AB33" s="84">
        <f t="shared" si="35"/>
        <v>0</v>
      </c>
      <c r="AC33" s="84">
        <f t="shared" si="36"/>
        <v>0</v>
      </c>
      <c r="AD33" s="84">
        <f t="shared" si="37"/>
        <v>0</v>
      </c>
      <c r="AF33" s="83">
        <f t="shared" si="13"/>
        <v>0</v>
      </c>
      <c r="AG33" s="82" t="b">
        <f t="shared" si="14"/>
        <v>1</v>
      </c>
    </row>
    <row r="34" spans="1:33" x14ac:dyDescent="0.25">
      <c r="A34" s="44"/>
      <c r="B34" s="44">
        <f>+MAX($B$1:B33)+1</f>
        <v>57</v>
      </c>
      <c r="C34" s="64" t="s">
        <v>96</v>
      </c>
      <c r="D34" s="84">
        <f>3847*0</f>
        <v>0</v>
      </c>
      <c r="E34" s="81"/>
      <c r="F34" s="199">
        <v>8.3333333333333329E-2</v>
      </c>
      <c r="G34" s="199">
        <v>8.3333333333333329E-2</v>
      </c>
      <c r="H34" s="199">
        <v>8.3333333333333329E-2</v>
      </c>
      <c r="I34" s="199">
        <v>8.3333333333333329E-2</v>
      </c>
      <c r="J34" s="199">
        <v>8.3333333333333329E-2</v>
      </c>
      <c r="K34" s="199">
        <v>8.3333333333333329E-2</v>
      </c>
      <c r="L34" s="199">
        <v>8.3333333333333329E-2</v>
      </c>
      <c r="M34" s="199">
        <v>8.3333333333333329E-2</v>
      </c>
      <c r="N34" s="199">
        <v>8.3333333333333329E-2</v>
      </c>
      <c r="O34" s="199">
        <v>8.3333333333333329E-2</v>
      </c>
      <c r="P34" s="199">
        <v>8.3333333333333329E-2</v>
      </c>
      <c r="Q34" s="199">
        <v>8.3333333333333329E-2</v>
      </c>
      <c r="S34" s="84">
        <f t="shared" si="26"/>
        <v>0</v>
      </c>
      <c r="T34" s="84">
        <f t="shared" si="27"/>
        <v>0</v>
      </c>
      <c r="U34" s="184">
        <f t="shared" si="28"/>
        <v>0</v>
      </c>
      <c r="V34" s="243">
        <f t="shared" si="29"/>
        <v>0</v>
      </c>
      <c r="W34" s="84">
        <f t="shared" si="30"/>
        <v>0</v>
      </c>
      <c r="X34" s="84">
        <f t="shared" si="31"/>
        <v>0</v>
      </c>
      <c r="Y34" s="84">
        <f t="shared" si="32"/>
        <v>0</v>
      </c>
      <c r="Z34" s="84">
        <f t="shared" si="33"/>
        <v>0</v>
      </c>
      <c r="AA34" s="84">
        <f t="shared" si="34"/>
        <v>0</v>
      </c>
      <c r="AB34" s="84">
        <f t="shared" si="35"/>
        <v>0</v>
      </c>
      <c r="AC34" s="84">
        <f t="shared" si="36"/>
        <v>0</v>
      </c>
      <c r="AD34" s="84">
        <f t="shared" si="37"/>
        <v>0</v>
      </c>
      <c r="AF34" s="83">
        <f t="shared" si="13"/>
        <v>0</v>
      </c>
      <c r="AG34" s="82" t="b">
        <f t="shared" si="14"/>
        <v>1</v>
      </c>
    </row>
    <row r="35" spans="1:33" x14ac:dyDescent="0.25">
      <c r="A35" s="44"/>
      <c r="B35" s="44">
        <f>+MAX($B$1:B34)+1</f>
        <v>58</v>
      </c>
      <c r="C35" s="64" t="s">
        <v>97</v>
      </c>
      <c r="D35" s="84">
        <f>2164*0</f>
        <v>0</v>
      </c>
      <c r="E35" s="81"/>
      <c r="F35" s="199">
        <v>8.3333333333333329E-2</v>
      </c>
      <c r="G35" s="199">
        <v>8.3333333333333329E-2</v>
      </c>
      <c r="H35" s="199">
        <v>8.3333333333333329E-2</v>
      </c>
      <c r="I35" s="199">
        <v>8.3333333333333329E-2</v>
      </c>
      <c r="J35" s="199">
        <v>8.3333333333333329E-2</v>
      </c>
      <c r="K35" s="199">
        <v>8.3333333333333329E-2</v>
      </c>
      <c r="L35" s="199">
        <v>8.3333333333333329E-2</v>
      </c>
      <c r="M35" s="199">
        <v>8.3333333333333329E-2</v>
      </c>
      <c r="N35" s="199">
        <v>8.3333333333333329E-2</v>
      </c>
      <c r="O35" s="199">
        <v>8.3333333333333329E-2</v>
      </c>
      <c r="P35" s="199">
        <v>8.3333333333333329E-2</v>
      </c>
      <c r="Q35" s="199">
        <v>8.3333333333333329E-2</v>
      </c>
      <c r="S35" s="84">
        <f t="shared" si="26"/>
        <v>0</v>
      </c>
      <c r="T35" s="84">
        <f t="shared" si="27"/>
        <v>0</v>
      </c>
      <c r="U35" s="184">
        <f t="shared" si="28"/>
        <v>0</v>
      </c>
      <c r="V35" s="243">
        <f t="shared" si="29"/>
        <v>0</v>
      </c>
      <c r="W35" s="84">
        <f t="shared" si="30"/>
        <v>0</v>
      </c>
      <c r="X35" s="84">
        <f t="shared" si="31"/>
        <v>0</v>
      </c>
      <c r="Y35" s="84">
        <f t="shared" si="32"/>
        <v>0</v>
      </c>
      <c r="Z35" s="84">
        <f t="shared" si="33"/>
        <v>0</v>
      </c>
      <c r="AA35" s="84">
        <f t="shared" si="34"/>
        <v>0</v>
      </c>
      <c r="AB35" s="84">
        <f t="shared" si="35"/>
        <v>0</v>
      </c>
      <c r="AC35" s="84">
        <f t="shared" si="36"/>
        <v>0</v>
      </c>
      <c r="AD35" s="84">
        <f t="shared" si="37"/>
        <v>0</v>
      </c>
      <c r="AF35" s="83">
        <f t="shared" si="13"/>
        <v>0</v>
      </c>
      <c r="AG35" s="82" t="b">
        <f t="shared" si="14"/>
        <v>1</v>
      </c>
    </row>
    <row r="36" spans="1:33" x14ac:dyDescent="0.25">
      <c r="A36" s="44"/>
      <c r="B36" s="44">
        <f>+MAX($B$1:B35)+1</f>
        <v>59</v>
      </c>
      <c r="C36" s="64" t="s">
        <v>203</v>
      </c>
      <c r="D36" s="84">
        <f>1494*0</f>
        <v>0</v>
      </c>
      <c r="E36" s="81"/>
      <c r="F36" s="199">
        <v>8.3333333333333329E-2</v>
      </c>
      <c r="G36" s="199">
        <v>8.3333333333333329E-2</v>
      </c>
      <c r="H36" s="199">
        <v>8.3333333333333329E-2</v>
      </c>
      <c r="I36" s="199">
        <v>8.3333333333333329E-2</v>
      </c>
      <c r="J36" s="199">
        <v>8.3333333333333329E-2</v>
      </c>
      <c r="K36" s="199">
        <v>8.3333333333333329E-2</v>
      </c>
      <c r="L36" s="199">
        <v>8.3333333333333329E-2</v>
      </c>
      <c r="M36" s="199">
        <v>8.3333333333333329E-2</v>
      </c>
      <c r="N36" s="199">
        <v>8.3333333333333329E-2</v>
      </c>
      <c r="O36" s="199">
        <v>8.3333333333333329E-2</v>
      </c>
      <c r="P36" s="199">
        <v>8.3333333333333329E-2</v>
      </c>
      <c r="Q36" s="199">
        <v>8.3333333333333329E-2</v>
      </c>
      <c r="S36" s="84">
        <f t="shared" si="26"/>
        <v>0</v>
      </c>
      <c r="T36" s="84">
        <f t="shared" si="27"/>
        <v>0</v>
      </c>
      <c r="U36" s="184">
        <f t="shared" si="28"/>
        <v>0</v>
      </c>
      <c r="V36" s="243">
        <f t="shared" si="29"/>
        <v>0</v>
      </c>
      <c r="W36" s="84">
        <f t="shared" si="30"/>
        <v>0</v>
      </c>
      <c r="X36" s="84">
        <f t="shared" si="31"/>
        <v>0</v>
      </c>
      <c r="Y36" s="84">
        <f t="shared" si="32"/>
        <v>0</v>
      </c>
      <c r="Z36" s="84">
        <f t="shared" si="33"/>
        <v>0</v>
      </c>
      <c r="AA36" s="84">
        <f t="shared" si="34"/>
        <v>0</v>
      </c>
      <c r="AB36" s="84">
        <f t="shared" si="35"/>
        <v>0</v>
      </c>
      <c r="AC36" s="84">
        <f t="shared" si="36"/>
        <v>0</v>
      </c>
      <c r="AD36" s="84">
        <f t="shared" si="37"/>
        <v>0</v>
      </c>
      <c r="AF36" s="83">
        <f t="shared" si="13"/>
        <v>0</v>
      </c>
      <c r="AG36" s="82" t="b">
        <f t="shared" si="14"/>
        <v>1</v>
      </c>
    </row>
    <row r="37" spans="1:33" x14ac:dyDescent="0.25">
      <c r="A37" s="44"/>
      <c r="B37" s="44">
        <f>+MAX($B$1:B36)+1</f>
        <v>60</v>
      </c>
      <c r="C37" s="64" t="s">
        <v>98</v>
      </c>
      <c r="D37" s="84">
        <f>1591*0</f>
        <v>0</v>
      </c>
      <c r="E37" s="81"/>
      <c r="F37" s="199">
        <v>8.3333333333333329E-2</v>
      </c>
      <c r="G37" s="199">
        <v>8.3333333333333329E-2</v>
      </c>
      <c r="H37" s="199">
        <v>8.3333333333333329E-2</v>
      </c>
      <c r="I37" s="199">
        <v>8.3333333333333329E-2</v>
      </c>
      <c r="J37" s="199">
        <v>8.3333333333333329E-2</v>
      </c>
      <c r="K37" s="199">
        <v>8.3333333333333329E-2</v>
      </c>
      <c r="L37" s="199">
        <v>8.3333333333333329E-2</v>
      </c>
      <c r="M37" s="199">
        <v>8.3333333333333329E-2</v>
      </c>
      <c r="N37" s="199">
        <v>8.3333333333333329E-2</v>
      </c>
      <c r="O37" s="199">
        <v>8.3333333333333329E-2</v>
      </c>
      <c r="P37" s="199">
        <v>8.3333333333333329E-2</v>
      </c>
      <c r="Q37" s="199">
        <v>8.3333333333333329E-2</v>
      </c>
      <c r="S37" s="84">
        <f t="shared" si="26"/>
        <v>0</v>
      </c>
      <c r="T37" s="84">
        <f t="shared" si="27"/>
        <v>0</v>
      </c>
      <c r="U37" s="184">
        <f t="shared" si="28"/>
        <v>0</v>
      </c>
      <c r="V37" s="243">
        <f t="shared" si="29"/>
        <v>0</v>
      </c>
      <c r="W37" s="84">
        <f t="shared" si="30"/>
        <v>0</v>
      </c>
      <c r="X37" s="84">
        <f t="shared" si="31"/>
        <v>0</v>
      </c>
      <c r="Y37" s="84">
        <f t="shared" si="32"/>
        <v>0</v>
      </c>
      <c r="Z37" s="84">
        <f t="shared" si="33"/>
        <v>0</v>
      </c>
      <c r="AA37" s="84">
        <f t="shared" si="34"/>
        <v>0</v>
      </c>
      <c r="AB37" s="84">
        <f t="shared" si="35"/>
        <v>0</v>
      </c>
      <c r="AC37" s="84">
        <f t="shared" si="36"/>
        <v>0</v>
      </c>
      <c r="AD37" s="84">
        <f t="shared" si="37"/>
        <v>0</v>
      </c>
      <c r="AF37" s="83">
        <f t="shared" si="13"/>
        <v>0</v>
      </c>
      <c r="AG37" s="82" t="b">
        <f t="shared" si="14"/>
        <v>1</v>
      </c>
    </row>
    <row r="38" spans="1:33" x14ac:dyDescent="0.25">
      <c r="A38" s="44"/>
      <c r="B38" s="44">
        <f>+MAX($B$1:B37)+1</f>
        <v>61</v>
      </c>
      <c r="C38" s="64" t="s">
        <v>99</v>
      </c>
      <c r="D38" s="84">
        <f>2200*0</f>
        <v>0</v>
      </c>
      <c r="E38" s="81"/>
      <c r="F38" s="199">
        <v>8.3333333333333329E-2</v>
      </c>
      <c r="G38" s="199">
        <v>8.3333333333333329E-2</v>
      </c>
      <c r="H38" s="199">
        <v>8.3333333333333329E-2</v>
      </c>
      <c r="I38" s="199">
        <v>8.3333333333333329E-2</v>
      </c>
      <c r="J38" s="199">
        <v>8.3333333333333329E-2</v>
      </c>
      <c r="K38" s="199">
        <v>8.3333333333333329E-2</v>
      </c>
      <c r="L38" s="199">
        <v>8.3333333333333329E-2</v>
      </c>
      <c r="M38" s="199">
        <v>8.3333333333333329E-2</v>
      </c>
      <c r="N38" s="199">
        <v>8.3333333333333329E-2</v>
      </c>
      <c r="O38" s="199">
        <v>8.3333333333333329E-2</v>
      </c>
      <c r="P38" s="199">
        <v>8.3333333333333329E-2</v>
      </c>
      <c r="Q38" s="199">
        <v>8.3333333333333329E-2</v>
      </c>
      <c r="S38" s="84">
        <f t="shared" si="26"/>
        <v>0</v>
      </c>
      <c r="T38" s="84">
        <f t="shared" si="27"/>
        <v>0</v>
      </c>
      <c r="U38" s="184">
        <f t="shared" si="28"/>
        <v>0</v>
      </c>
      <c r="V38" s="243">
        <f t="shared" si="29"/>
        <v>0</v>
      </c>
      <c r="W38" s="84">
        <f t="shared" si="30"/>
        <v>0</v>
      </c>
      <c r="X38" s="84">
        <f t="shared" si="31"/>
        <v>0</v>
      </c>
      <c r="Y38" s="84">
        <f t="shared" si="32"/>
        <v>0</v>
      </c>
      <c r="Z38" s="84">
        <f t="shared" si="33"/>
        <v>0</v>
      </c>
      <c r="AA38" s="84">
        <f t="shared" si="34"/>
        <v>0</v>
      </c>
      <c r="AB38" s="84">
        <f t="shared" si="35"/>
        <v>0</v>
      </c>
      <c r="AC38" s="84">
        <f t="shared" si="36"/>
        <v>0</v>
      </c>
      <c r="AD38" s="84">
        <f t="shared" si="37"/>
        <v>0</v>
      </c>
      <c r="AF38" s="83">
        <f t="shared" si="13"/>
        <v>0</v>
      </c>
      <c r="AG38" s="82" t="b">
        <f t="shared" si="14"/>
        <v>1</v>
      </c>
    </row>
    <row r="39" spans="1:33" x14ac:dyDescent="0.25">
      <c r="A39" s="44"/>
      <c r="B39" s="44">
        <f>+MAX($B$1:B38)+1</f>
        <v>62</v>
      </c>
      <c r="C39" s="64" t="s">
        <v>100</v>
      </c>
      <c r="D39" s="84">
        <f>1444*0</f>
        <v>0</v>
      </c>
      <c r="E39" s="81"/>
      <c r="F39" s="199">
        <v>8.3333333333333329E-2</v>
      </c>
      <c r="G39" s="199">
        <v>8.3333333333333329E-2</v>
      </c>
      <c r="H39" s="199">
        <v>8.3333333333333329E-2</v>
      </c>
      <c r="I39" s="199">
        <v>8.3333333333333329E-2</v>
      </c>
      <c r="J39" s="199">
        <v>8.3333333333333329E-2</v>
      </c>
      <c r="K39" s="199">
        <v>8.3333333333333329E-2</v>
      </c>
      <c r="L39" s="199">
        <v>8.3333333333333329E-2</v>
      </c>
      <c r="M39" s="199">
        <v>8.3333333333333329E-2</v>
      </c>
      <c r="N39" s="199">
        <v>8.3333333333333329E-2</v>
      </c>
      <c r="O39" s="199">
        <v>8.3333333333333329E-2</v>
      </c>
      <c r="P39" s="199">
        <v>8.3333333333333329E-2</v>
      </c>
      <c r="Q39" s="199">
        <v>8.3333333333333329E-2</v>
      </c>
      <c r="S39" s="84">
        <f t="shared" si="26"/>
        <v>0</v>
      </c>
      <c r="T39" s="84">
        <f t="shared" si="27"/>
        <v>0</v>
      </c>
      <c r="U39" s="184">
        <f t="shared" si="28"/>
        <v>0</v>
      </c>
      <c r="V39" s="243">
        <f t="shared" si="29"/>
        <v>0</v>
      </c>
      <c r="W39" s="84">
        <f t="shared" si="30"/>
        <v>0</v>
      </c>
      <c r="X39" s="84">
        <f t="shared" si="31"/>
        <v>0</v>
      </c>
      <c r="Y39" s="84">
        <f t="shared" si="32"/>
        <v>0</v>
      </c>
      <c r="Z39" s="84">
        <f t="shared" si="33"/>
        <v>0</v>
      </c>
      <c r="AA39" s="84">
        <f t="shared" si="34"/>
        <v>0</v>
      </c>
      <c r="AB39" s="84">
        <f t="shared" si="35"/>
        <v>0</v>
      </c>
      <c r="AC39" s="84">
        <f t="shared" si="36"/>
        <v>0</v>
      </c>
      <c r="AD39" s="84">
        <f t="shared" si="37"/>
        <v>0</v>
      </c>
      <c r="AF39" s="83">
        <f t="shared" si="13"/>
        <v>0</v>
      </c>
      <c r="AG39" s="82" t="b">
        <f t="shared" si="14"/>
        <v>1</v>
      </c>
    </row>
    <row r="40" spans="1:33" x14ac:dyDescent="0.25">
      <c r="A40" s="44"/>
      <c r="B40" s="44"/>
      <c r="C40" s="68" t="s">
        <v>103</v>
      </c>
      <c r="D40" s="85">
        <f>SUM(D29:D39)</f>
        <v>0</v>
      </c>
      <c r="E40" s="81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S40" s="85">
        <f t="shared" ref="S40:AD40" si="38">SUM(S29:S39)</f>
        <v>0</v>
      </c>
      <c r="T40" s="85">
        <f t="shared" si="38"/>
        <v>0</v>
      </c>
      <c r="U40" s="187">
        <f t="shared" si="38"/>
        <v>0</v>
      </c>
      <c r="V40" s="242">
        <f t="shared" si="38"/>
        <v>0</v>
      </c>
      <c r="W40" s="85">
        <f t="shared" si="38"/>
        <v>0</v>
      </c>
      <c r="X40" s="85">
        <f t="shared" si="38"/>
        <v>0</v>
      </c>
      <c r="Y40" s="85">
        <f t="shared" si="38"/>
        <v>0</v>
      </c>
      <c r="Z40" s="85">
        <f t="shared" si="38"/>
        <v>0</v>
      </c>
      <c r="AA40" s="85">
        <f t="shared" si="38"/>
        <v>0</v>
      </c>
      <c r="AB40" s="85">
        <f t="shared" si="38"/>
        <v>0</v>
      </c>
      <c r="AC40" s="85">
        <f t="shared" si="38"/>
        <v>0</v>
      </c>
      <c r="AD40" s="85">
        <f t="shared" si="38"/>
        <v>0</v>
      </c>
      <c r="AF40" s="83">
        <f t="shared" si="13"/>
        <v>0</v>
      </c>
      <c r="AG40" s="82" t="b">
        <f t="shared" si="14"/>
        <v>1</v>
      </c>
    </row>
    <row r="41" spans="1:33" x14ac:dyDescent="0.25">
      <c r="A41" s="44"/>
      <c r="B41" s="44">
        <f>+MAX($B$1:B40)+1</f>
        <v>63</v>
      </c>
      <c r="C41" s="236" t="s">
        <v>39</v>
      </c>
      <c r="D41" s="84">
        <f>3805*0</f>
        <v>0</v>
      </c>
      <c r="E41" s="81"/>
      <c r="F41" s="199">
        <v>8.3333333333333329E-2</v>
      </c>
      <c r="G41" s="199">
        <v>8.3333333333333329E-2</v>
      </c>
      <c r="H41" s="199">
        <v>8.3333333333333329E-2</v>
      </c>
      <c r="I41" s="199">
        <v>8.3333333333333329E-2</v>
      </c>
      <c r="J41" s="199">
        <v>8.3333333333333329E-2</v>
      </c>
      <c r="K41" s="199">
        <v>8.3333333333333329E-2</v>
      </c>
      <c r="L41" s="199">
        <v>8.3333333333333329E-2</v>
      </c>
      <c r="M41" s="199">
        <v>8.3333333333333329E-2</v>
      </c>
      <c r="N41" s="199">
        <v>8.3333333333333329E-2</v>
      </c>
      <c r="O41" s="199">
        <v>8.3333333333333329E-2</v>
      </c>
      <c r="P41" s="199">
        <v>8.3333333333333329E-2</v>
      </c>
      <c r="Q41" s="199">
        <v>8.3333333333333329E-2</v>
      </c>
      <c r="S41" s="84">
        <f t="shared" ref="S41:S42" si="39">IFERROR($D41*F41,"")</f>
        <v>0</v>
      </c>
      <c r="T41" s="84">
        <f t="shared" ref="T41:T42" si="40">IFERROR($D41*G41,"")</f>
        <v>0</v>
      </c>
      <c r="U41" s="184">
        <f t="shared" ref="U41:U42" si="41">IFERROR($D41*H41,"")</f>
        <v>0</v>
      </c>
      <c r="V41" s="243">
        <f t="shared" ref="V41:V42" si="42">IFERROR($D41*I41,"")</f>
        <v>0</v>
      </c>
      <c r="W41" s="84">
        <f t="shared" ref="W41:W42" si="43">IFERROR($D41*J41,"")</f>
        <v>0</v>
      </c>
      <c r="X41" s="84">
        <f t="shared" ref="X41:X42" si="44">IFERROR($D41*K41,"")</f>
        <v>0</v>
      </c>
      <c r="Y41" s="84">
        <f t="shared" ref="Y41:Y42" si="45">IFERROR($D41*L41,"")</f>
        <v>0</v>
      </c>
      <c r="Z41" s="84">
        <f t="shared" ref="Z41:Z42" si="46">IFERROR($D41*M41,"")</f>
        <v>0</v>
      </c>
      <c r="AA41" s="84">
        <f t="shared" ref="AA41:AA42" si="47">IFERROR($D41*N41,"")</f>
        <v>0</v>
      </c>
      <c r="AB41" s="84">
        <f t="shared" ref="AB41:AB42" si="48">IFERROR($D41*O41,"")</f>
        <v>0</v>
      </c>
      <c r="AC41" s="84">
        <f t="shared" ref="AC41:AC42" si="49">IFERROR($D41*P41,"")</f>
        <v>0</v>
      </c>
      <c r="AD41" s="84">
        <f t="shared" ref="AD41:AD42" si="50">IFERROR($D41*Q41," ")</f>
        <v>0</v>
      </c>
      <c r="AF41" s="83">
        <f t="shared" si="13"/>
        <v>0</v>
      </c>
      <c r="AG41" s="82" t="b">
        <f t="shared" si="14"/>
        <v>1</v>
      </c>
    </row>
    <row r="42" spans="1:33" x14ac:dyDescent="0.25">
      <c r="A42" s="44"/>
      <c r="B42" s="44">
        <f>+MAX($B$1:B41)+1</f>
        <v>64</v>
      </c>
      <c r="C42" s="236" t="s">
        <v>83</v>
      </c>
      <c r="D42" s="84">
        <f>645*0</f>
        <v>0</v>
      </c>
      <c r="E42" s="81"/>
      <c r="F42" s="199">
        <v>8.3333333333333329E-2</v>
      </c>
      <c r="G42" s="199">
        <v>8.3333333333333329E-2</v>
      </c>
      <c r="H42" s="199">
        <v>8.3333333333333329E-2</v>
      </c>
      <c r="I42" s="199">
        <v>8.3333333333333329E-2</v>
      </c>
      <c r="J42" s="199">
        <v>8.3333333333333329E-2</v>
      </c>
      <c r="K42" s="199">
        <v>8.3333333333333329E-2</v>
      </c>
      <c r="L42" s="199">
        <v>8.3333333333333329E-2</v>
      </c>
      <c r="M42" s="199">
        <v>8.3333333333333329E-2</v>
      </c>
      <c r="N42" s="199">
        <v>8.3333333333333329E-2</v>
      </c>
      <c r="O42" s="199">
        <v>8.3333333333333329E-2</v>
      </c>
      <c r="P42" s="199">
        <v>8.3333333333333329E-2</v>
      </c>
      <c r="Q42" s="199">
        <v>8.3333333333333329E-2</v>
      </c>
      <c r="S42" s="84">
        <f t="shared" si="39"/>
        <v>0</v>
      </c>
      <c r="T42" s="84">
        <f t="shared" si="40"/>
        <v>0</v>
      </c>
      <c r="U42" s="184">
        <f t="shared" si="41"/>
        <v>0</v>
      </c>
      <c r="V42" s="243">
        <f t="shared" si="42"/>
        <v>0</v>
      </c>
      <c r="W42" s="84">
        <f t="shared" si="43"/>
        <v>0</v>
      </c>
      <c r="X42" s="84">
        <f t="shared" si="44"/>
        <v>0</v>
      </c>
      <c r="Y42" s="84">
        <f t="shared" si="45"/>
        <v>0</v>
      </c>
      <c r="Z42" s="84">
        <f t="shared" si="46"/>
        <v>0</v>
      </c>
      <c r="AA42" s="84">
        <f t="shared" si="47"/>
        <v>0</v>
      </c>
      <c r="AB42" s="84">
        <f t="shared" si="48"/>
        <v>0</v>
      </c>
      <c r="AC42" s="84">
        <f t="shared" si="49"/>
        <v>0</v>
      </c>
      <c r="AD42" s="84">
        <f t="shared" si="50"/>
        <v>0</v>
      </c>
      <c r="AF42" s="83">
        <f t="shared" si="13"/>
        <v>0</v>
      </c>
      <c r="AG42" s="82" t="b">
        <f t="shared" si="14"/>
        <v>1</v>
      </c>
    </row>
    <row r="43" spans="1:33" x14ac:dyDescent="0.25">
      <c r="A43" s="44"/>
      <c r="B43" s="44"/>
      <c r="C43" s="68" t="s">
        <v>105</v>
      </c>
      <c r="D43" s="85">
        <f>SUM(D26,D40:D42)</f>
        <v>0</v>
      </c>
      <c r="E43" s="81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257"/>
      <c r="S43" s="85">
        <f t="shared" ref="S43:AD43" si="51">SUM(S26,S40:S42)</f>
        <v>0</v>
      </c>
      <c r="T43" s="85">
        <f t="shared" si="51"/>
        <v>0</v>
      </c>
      <c r="U43" s="187">
        <f t="shared" si="51"/>
        <v>0</v>
      </c>
      <c r="V43" s="242">
        <f t="shared" si="51"/>
        <v>0</v>
      </c>
      <c r="W43" s="85">
        <f t="shared" si="51"/>
        <v>0</v>
      </c>
      <c r="X43" s="85">
        <f t="shared" si="51"/>
        <v>0</v>
      </c>
      <c r="Y43" s="85">
        <f t="shared" si="51"/>
        <v>0</v>
      </c>
      <c r="Z43" s="85">
        <f t="shared" si="51"/>
        <v>0</v>
      </c>
      <c r="AA43" s="85">
        <f t="shared" si="51"/>
        <v>0</v>
      </c>
      <c r="AB43" s="85">
        <f t="shared" si="51"/>
        <v>0</v>
      </c>
      <c r="AC43" s="85">
        <f t="shared" si="51"/>
        <v>0</v>
      </c>
      <c r="AD43" s="85">
        <f t="shared" si="51"/>
        <v>0</v>
      </c>
      <c r="AF43" s="83">
        <f t="shared" si="13"/>
        <v>0</v>
      </c>
      <c r="AG43" s="82" t="b">
        <f>AF43=D43</f>
        <v>1</v>
      </c>
    </row>
    <row r="44" spans="1:33" x14ac:dyDescent="0.25">
      <c r="A44" s="44"/>
      <c r="B44" s="44">
        <f>+MAX($B$1:B43)+1</f>
        <v>65</v>
      </c>
      <c r="C44" s="68" t="s">
        <v>199</v>
      </c>
      <c r="D44" s="86">
        <f>156783*0</f>
        <v>0</v>
      </c>
      <c r="E44" s="81"/>
      <c r="F44" s="199">
        <v>8.3333333333333329E-2</v>
      </c>
      <c r="G44" s="199">
        <v>8.3333333333333329E-2</v>
      </c>
      <c r="H44" s="199">
        <v>8.3333333333333329E-2</v>
      </c>
      <c r="I44" s="199">
        <v>8.3333333333333329E-2</v>
      </c>
      <c r="J44" s="199">
        <v>8.3333333333333329E-2</v>
      </c>
      <c r="K44" s="199">
        <v>8.3333333333333329E-2</v>
      </c>
      <c r="L44" s="199">
        <v>8.3333333333333329E-2</v>
      </c>
      <c r="M44" s="199">
        <v>8.3333333333333329E-2</v>
      </c>
      <c r="N44" s="199">
        <v>8.3333333333333329E-2</v>
      </c>
      <c r="O44" s="199">
        <v>8.3333333333333329E-2</v>
      </c>
      <c r="P44" s="199">
        <v>8.3333333333333329E-2</v>
      </c>
      <c r="Q44" s="199">
        <v>8.3333333333333329E-2</v>
      </c>
      <c r="R44" s="257"/>
      <c r="S44" s="84">
        <f>IFERROR($D44*F44,"")</f>
        <v>0</v>
      </c>
      <c r="T44" s="84">
        <f t="shared" ref="T44:AD44" si="52">IFERROR($D44*G44,"")</f>
        <v>0</v>
      </c>
      <c r="U44" s="84">
        <f t="shared" si="52"/>
        <v>0</v>
      </c>
      <c r="V44" s="84">
        <f t="shared" si="52"/>
        <v>0</v>
      </c>
      <c r="W44" s="84">
        <f t="shared" si="52"/>
        <v>0</v>
      </c>
      <c r="X44" s="84">
        <f t="shared" si="52"/>
        <v>0</v>
      </c>
      <c r="Y44" s="84">
        <f t="shared" si="52"/>
        <v>0</v>
      </c>
      <c r="Z44" s="84">
        <f t="shared" si="52"/>
        <v>0</v>
      </c>
      <c r="AA44" s="84">
        <f t="shared" si="52"/>
        <v>0</v>
      </c>
      <c r="AB44" s="84">
        <f t="shared" si="52"/>
        <v>0</v>
      </c>
      <c r="AC44" s="84">
        <f t="shared" si="52"/>
        <v>0</v>
      </c>
      <c r="AD44" s="84">
        <f t="shared" si="52"/>
        <v>0</v>
      </c>
      <c r="AF44" s="83">
        <f t="shared" si="13"/>
        <v>0</v>
      </c>
      <c r="AG44" s="82" t="b">
        <f>AF44=D44</f>
        <v>1</v>
      </c>
    </row>
    <row r="45" spans="1:33" x14ac:dyDescent="0.25">
      <c r="A45" s="44"/>
      <c r="B45" s="44"/>
      <c r="C45" s="68" t="s">
        <v>200</v>
      </c>
      <c r="D45" s="85">
        <f>SUM(D43:D44)</f>
        <v>0</v>
      </c>
      <c r="E45" s="81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257"/>
      <c r="S45" s="85">
        <f>SUM(S43:S44)</f>
        <v>0</v>
      </c>
      <c r="T45" s="85">
        <f t="shared" ref="T45:AD45" si="53">SUM(T43:T44)</f>
        <v>0</v>
      </c>
      <c r="U45" s="85">
        <f t="shared" si="53"/>
        <v>0</v>
      </c>
      <c r="V45" s="85">
        <f t="shared" si="53"/>
        <v>0</v>
      </c>
      <c r="W45" s="85">
        <f t="shared" si="53"/>
        <v>0</v>
      </c>
      <c r="X45" s="85">
        <f t="shared" si="53"/>
        <v>0</v>
      </c>
      <c r="Y45" s="85">
        <f t="shared" si="53"/>
        <v>0</v>
      </c>
      <c r="Z45" s="85">
        <f t="shared" si="53"/>
        <v>0</v>
      </c>
      <c r="AA45" s="85">
        <f t="shared" si="53"/>
        <v>0</v>
      </c>
      <c r="AB45" s="85">
        <f t="shared" si="53"/>
        <v>0</v>
      </c>
      <c r="AC45" s="85">
        <f t="shared" si="53"/>
        <v>0</v>
      </c>
      <c r="AD45" s="85">
        <f t="shared" si="53"/>
        <v>0</v>
      </c>
      <c r="AF45" s="83">
        <f t="shared" ref="AF45" si="54">SUM(S45:AD45)</f>
        <v>0</v>
      </c>
      <c r="AG45" s="82" t="b">
        <f>AF45=D45</f>
        <v>1</v>
      </c>
    </row>
    <row r="46" spans="1:33" x14ac:dyDescent="0.25">
      <c r="A46" s="44"/>
      <c r="B46" s="44"/>
      <c r="C46" s="68"/>
      <c r="D46" s="86"/>
      <c r="E46" s="185"/>
      <c r="F46" s="222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83"/>
      <c r="S46" s="86"/>
      <c r="T46" s="86"/>
      <c r="U46" s="185"/>
      <c r="V46" s="244"/>
      <c r="W46" s="86"/>
      <c r="X46" s="86"/>
      <c r="Y46" s="86"/>
      <c r="Z46" s="86"/>
      <c r="AA46" s="86"/>
      <c r="AB46" s="86"/>
      <c r="AC46" s="86"/>
      <c r="AD46" s="86"/>
      <c r="AF46" s="83"/>
      <c r="AG46" s="82"/>
    </row>
    <row r="47" spans="1:33" x14ac:dyDescent="0.25">
      <c r="A47" s="44"/>
      <c r="B47" s="44"/>
      <c r="C47" s="66" t="s">
        <v>178</v>
      </c>
      <c r="D47" s="86"/>
      <c r="E47" s="81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S47" s="86"/>
      <c r="T47" s="86"/>
      <c r="U47" s="185"/>
      <c r="V47" s="244"/>
      <c r="W47" s="86"/>
      <c r="X47" s="86"/>
      <c r="Y47" s="86"/>
      <c r="Z47" s="86"/>
      <c r="AA47" s="86"/>
      <c r="AB47" s="86"/>
      <c r="AC47" s="86"/>
      <c r="AD47" s="86"/>
      <c r="AF47" s="83"/>
      <c r="AG47" s="82"/>
    </row>
    <row r="48" spans="1:33" x14ac:dyDescent="0.25">
      <c r="A48" s="44"/>
      <c r="B48" s="44"/>
      <c r="C48" s="65" t="s">
        <v>79</v>
      </c>
      <c r="D48" s="86"/>
      <c r="E48" s="81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S48" s="86"/>
      <c r="T48" s="86"/>
      <c r="U48" s="185"/>
      <c r="V48" s="244"/>
      <c r="W48" s="86"/>
      <c r="X48" s="86"/>
      <c r="Y48" s="86"/>
      <c r="Z48" s="86"/>
      <c r="AA48" s="86"/>
      <c r="AB48" s="86"/>
      <c r="AC48" s="86"/>
      <c r="AD48" s="86"/>
      <c r="AF48" s="83"/>
      <c r="AG48" s="82"/>
    </row>
    <row r="49" spans="1:33" x14ac:dyDescent="0.25">
      <c r="A49" s="44"/>
      <c r="B49" s="44">
        <f>+MAX($B$1:B48)+1</f>
        <v>66</v>
      </c>
      <c r="C49" s="236" t="s">
        <v>86</v>
      </c>
      <c r="D49" s="84">
        <f>2543*0</f>
        <v>0</v>
      </c>
      <c r="E49" s="81"/>
      <c r="F49" s="199">
        <v>8.3333333333333329E-2</v>
      </c>
      <c r="G49" s="199">
        <v>8.3333333333333329E-2</v>
      </c>
      <c r="H49" s="199">
        <v>8.3333333333333329E-2</v>
      </c>
      <c r="I49" s="199">
        <v>8.3333333333333329E-2</v>
      </c>
      <c r="J49" s="199">
        <v>8.3333333333333329E-2</v>
      </c>
      <c r="K49" s="199">
        <v>8.3333333333333329E-2</v>
      </c>
      <c r="L49" s="199">
        <v>8.3333333333333329E-2</v>
      </c>
      <c r="M49" s="199">
        <v>8.3333333333333329E-2</v>
      </c>
      <c r="N49" s="199">
        <v>8.3333333333333329E-2</v>
      </c>
      <c r="O49" s="199">
        <v>8.3333333333333329E-2</v>
      </c>
      <c r="P49" s="199">
        <v>8.3333333333333329E-2</v>
      </c>
      <c r="Q49" s="199">
        <v>8.3333333333333329E-2</v>
      </c>
      <c r="S49" s="84">
        <f t="shared" ref="S49:S52" si="55">IFERROR($D49*F49,"")</f>
        <v>0</v>
      </c>
      <c r="T49" s="84">
        <f t="shared" ref="T49:T52" si="56">IFERROR($D49*G49,"")</f>
        <v>0</v>
      </c>
      <c r="U49" s="184">
        <f t="shared" ref="U49:U52" si="57">IFERROR($D49*H49,"")</f>
        <v>0</v>
      </c>
      <c r="V49" s="243">
        <f t="shared" ref="V49:V52" si="58">IFERROR($D49*I49,"")</f>
        <v>0</v>
      </c>
      <c r="W49" s="84">
        <f t="shared" ref="W49:W52" si="59">IFERROR($D49*J49,"")</f>
        <v>0</v>
      </c>
      <c r="X49" s="84">
        <f t="shared" ref="X49:X52" si="60">IFERROR($D49*K49,"")</f>
        <v>0</v>
      </c>
      <c r="Y49" s="84">
        <f t="shared" ref="Y49:Y52" si="61">IFERROR($D49*L49,"")</f>
        <v>0</v>
      </c>
      <c r="Z49" s="84">
        <f t="shared" ref="Z49:Z52" si="62">IFERROR($D49*M49,"")</f>
        <v>0</v>
      </c>
      <c r="AA49" s="84">
        <f t="shared" ref="AA49:AA52" si="63">IFERROR($D49*N49,"")</f>
        <v>0</v>
      </c>
      <c r="AB49" s="84">
        <f t="shared" ref="AB49:AB52" si="64">IFERROR($D49*O49,"")</f>
        <v>0</v>
      </c>
      <c r="AC49" s="84">
        <f t="shared" ref="AC49:AC52" si="65">IFERROR($D49*P49,"")</f>
        <v>0</v>
      </c>
      <c r="AD49" s="84">
        <f t="shared" ref="AD49:AD52" si="66">IFERROR($D49*Q49,"")</f>
        <v>0</v>
      </c>
      <c r="AF49" s="83">
        <f t="shared" ref="AF49:AF53" si="67">SUM(S49:AD49)</f>
        <v>0</v>
      </c>
      <c r="AG49" s="82" t="b">
        <f t="shared" ref="AG49:AG53" si="68">AF49=D49</f>
        <v>1</v>
      </c>
    </row>
    <row r="50" spans="1:33" x14ac:dyDescent="0.25">
      <c r="A50" s="44"/>
      <c r="B50" s="44">
        <f>+MAX($B$1:B49)+1</f>
        <v>67</v>
      </c>
      <c r="C50" s="64" t="s">
        <v>87</v>
      </c>
      <c r="D50" s="84">
        <f>1532*0</f>
        <v>0</v>
      </c>
      <c r="E50" s="81"/>
      <c r="F50" s="199">
        <v>8.3333333333333329E-2</v>
      </c>
      <c r="G50" s="199">
        <v>8.3333333333333329E-2</v>
      </c>
      <c r="H50" s="199">
        <v>8.3333333333333329E-2</v>
      </c>
      <c r="I50" s="199">
        <v>8.3333333333333329E-2</v>
      </c>
      <c r="J50" s="199">
        <v>8.3333333333333329E-2</v>
      </c>
      <c r="K50" s="199">
        <v>8.3333333333333329E-2</v>
      </c>
      <c r="L50" s="199">
        <v>8.3333333333333329E-2</v>
      </c>
      <c r="M50" s="199">
        <v>8.3333333333333329E-2</v>
      </c>
      <c r="N50" s="199">
        <v>8.3333333333333329E-2</v>
      </c>
      <c r="O50" s="199">
        <v>8.3333333333333329E-2</v>
      </c>
      <c r="P50" s="199">
        <v>8.3333333333333329E-2</v>
      </c>
      <c r="Q50" s="199">
        <v>8.3333333333333329E-2</v>
      </c>
      <c r="S50" s="84">
        <f t="shared" si="55"/>
        <v>0</v>
      </c>
      <c r="T50" s="84">
        <f t="shared" si="56"/>
        <v>0</v>
      </c>
      <c r="U50" s="184">
        <f t="shared" si="57"/>
        <v>0</v>
      </c>
      <c r="V50" s="243">
        <f t="shared" si="58"/>
        <v>0</v>
      </c>
      <c r="W50" s="84">
        <f t="shared" si="59"/>
        <v>0</v>
      </c>
      <c r="X50" s="84">
        <f t="shared" si="60"/>
        <v>0</v>
      </c>
      <c r="Y50" s="84">
        <f t="shared" si="61"/>
        <v>0</v>
      </c>
      <c r="Z50" s="84">
        <f t="shared" si="62"/>
        <v>0</v>
      </c>
      <c r="AA50" s="84">
        <f t="shared" si="63"/>
        <v>0</v>
      </c>
      <c r="AB50" s="84">
        <f t="shared" si="64"/>
        <v>0</v>
      </c>
      <c r="AC50" s="84">
        <f t="shared" si="65"/>
        <v>0</v>
      </c>
      <c r="AD50" s="84">
        <f t="shared" si="66"/>
        <v>0</v>
      </c>
      <c r="AF50" s="83">
        <f t="shared" si="67"/>
        <v>0</v>
      </c>
      <c r="AG50" s="82" t="b">
        <f t="shared" si="68"/>
        <v>1</v>
      </c>
    </row>
    <row r="51" spans="1:33" x14ac:dyDescent="0.25">
      <c r="A51" s="44"/>
      <c r="B51" s="44">
        <f>+MAX($B$1:B50)+1</f>
        <v>68</v>
      </c>
      <c r="C51" s="64" t="s">
        <v>88</v>
      </c>
      <c r="D51" s="84">
        <f>288*0</f>
        <v>0</v>
      </c>
      <c r="E51" s="81"/>
      <c r="F51" s="199">
        <v>8.3333333333333329E-2</v>
      </c>
      <c r="G51" s="199">
        <v>8.3333333333333329E-2</v>
      </c>
      <c r="H51" s="199">
        <v>8.3333333333333329E-2</v>
      </c>
      <c r="I51" s="199">
        <v>8.3333333333333329E-2</v>
      </c>
      <c r="J51" s="199">
        <v>8.3333333333333329E-2</v>
      </c>
      <c r="K51" s="199">
        <v>8.3333333333333329E-2</v>
      </c>
      <c r="L51" s="199">
        <v>8.3333333333333329E-2</v>
      </c>
      <c r="M51" s="199">
        <v>8.3333333333333329E-2</v>
      </c>
      <c r="N51" s="199">
        <v>8.3333333333333329E-2</v>
      </c>
      <c r="O51" s="199">
        <v>8.3333333333333329E-2</v>
      </c>
      <c r="P51" s="199">
        <v>8.3333333333333329E-2</v>
      </c>
      <c r="Q51" s="199">
        <v>8.3333333333333329E-2</v>
      </c>
      <c r="S51" s="84">
        <f t="shared" si="55"/>
        <v>0</v>
      </c>
      <c r="T51" s="84">
        <f t="shared" si="56"/>
        <v>0</v>
      </c>
      <c r="U51" s="184">
        <f t="shared" si="57"/>
        <v>0</v>
      </c>
      <c r="V51" s="243">
        <f t="shared" si="58"/>
        <v>0</v>
      </c>
      <c r="W51" s="84">
        <f t="shared" si="59"/>
        <v>0</v>
      </c>
      <c r="X51" s="84">
        <f t="shared" si="60"/>
        <v>0</v>
      </c>
      <c r="Y51" s="84">
        <f t="shared" si="61"/>
        <v>0</v>
      </c>
      <c r="Z51" s="84">
        <f t="shared" si="62"/>
        <v>0</v>
      </c>
      <c r="AA51" s="84">
        <f t="shared" si="63"/>
        <v>0</v>
      </c>
      <c r="AB51" s="84">
        <f t="shared" si="64"/>
        <v>0</v>
      </c>
      <c r="AC51" s="84">
        <f t="shared" si="65"/>
        <v>0</v>
      </c>
      <c r="AD51" s="84">
        <f t="shared" si="66"/>
        <v>0</v>
      </c>
      <c r="AF51" s="83">
        <f t="shared" si="67"/>
        <v>0</v>
      </c>
      <c r="AG51" s="82" t="b">
        <f t="shared" si="68"/>
        <v>1</v>
      </c>
    </row>
    <row r="52" spans="1:33" x14ac:dyDescent="0.25">
      <c r="A52" s="44"/>
      <c r="B52" s="44">
        <f>+MAX($B$1:B51)+1</f>
        <v>69</v>
      </c>
      <c r="C52" s="64" t="s">
        <v>89</v>
      </c>
      <c r="D52" s="84">
        <f>35*0</f>
        <v>0</v>
      </c>
      <c r="E52" s="81"/>
      <c r="F52" s="199">
        <v>8.3333333333333329E-2</v>
      </c>
      <c r="G52" s="199">
        <v>8.3333333333333329E-2</v>
      </c>
      <c r="H52" s="199">
        <v>8.3333333333333329E-2</v>
      </c>
      <c r="I52" s="199">
        <v>8.3333333333333329E-2</v>
      </c>
      <c r="J52" s="199">
        <v>8.3333333333333329E-2</v>
      </c>
      <c r="K52" s="199">
        <v>8.3333333333333329E-2</v>
      </c>
      <c r="L52" s="199">
        <v>8.3333333333333329E-2</v>
      </c>
      <c r="M52" s="199">
        <v>8.3333333333333329E-2</v>
      </c>
      <c r="N52" s="199">
        <v>8.3333333333333329E-2</v>
      </c>
      <c r="O52" s="199">
        <v>8.3333333333333329E-2</v>
      </c>
      <c r="P52" s="199">
        <v>8.3333333333333329E-2</v>
      </c>
      <c r="Q52" s="199">
        <v>8.3333333333333329E-2</v>
      </c>
      <c r="S52" s="84">
        <f t="shared" si="55"/>
        <v>0</v>
      </c>
      <c r="T52" s="84">
        <f t="shared" si="56"/>
        <v>0</v>
      </c>
      <c r="U52" s="184">
        <f t="shared" si="57"/>
        <v>0</v>
      </c>
      <c r="V52" s="243">
        <f t="shared" si="58"/>
        <v>0</v>
      </c>
      <c r="W52" s="84">
        <f t="shared" si="59"/>
        <v>0</v>
      </c>
      <c r="X52" s="84">
        <f t="shared" si="60"/>
        <v>0</v>
      </c>
      <c r="Y52" s="84">
        <f t="shared" si="61"/>
        <v>0</v>
      </c>
      <c r="Z52" s="84">
        <f t="shared" si="62"/>
        <v>0</v>
      </c>
      <c r="AA52" s="84">
        <f t="shared" si="63"/>
        <v>0</v>
      </c>
      <c r="AB52" s="84">
        <f t="shared" si="64"/>
        <v>0</v>
      </c>
      <c r="AC52" s="84">
        <f t="shared" si="65"/>
        <v>0</v>
      </c>
      <c r="AD52" s="84">
        <f t="shared" si="66"/>
        <v>0</v>
      </c>
      <c r="AF52" s="83">
        <f t="shared" si="67"/>
        <v>0</v>
      </c>
      <c r="AG52" s="82" t="b">
        <f t="shared" si="68"/>
        <v>1</v>
      </c>
    </row>
    <row r="53" spans="1:33" x14ac:dyDescent="0.25">
      <c r="A53" s="44"/>
      <c r="B53" s="44"/>
      <c r="C53" s="68" t="s">
        <v>108</v>
      </c>
      <c r="D53" s="85">
        <f>SUM(D49:D52)</f>
        <v>0</v>
      </c>
      <c r="E53" s="81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S53" s="85">
        <f>SUM(S49:S52)</f>
        <v>0</v>
      </c>
      <c r="T53" s="85">
        <f t="shared" ref="T53:AD53" si="69">SUM(T49:T52)</f>
        <v>0</v>
      </c>
      <c r="U53" s="187">
        <f t="shared" si="69"/>
        <v>0</v>
      </c>
      <c r="V53" s="242">
        <f t="shared" si="69"/>
        <v>0</v>
      </c>
      <c r="W53" s="85">
        <f t="shared" si="69"/>
        <v>0</v>
      </c>
      <c r="X53" s="85">
        <f t="shared" si="69"/>
        <v>0</v>
      </c>
      <c r="Y53" s="85">
        <f t="shared" si="69"/>
        <v>0</v>
      </c>
      <c r="Z53" s="85">
        <f t="shared" si="69"/>
        <v>0</v>
      </c>
      <c r="AA53" s="85">
        <f t="shared" si="69"/>
        <v>0</v>
      </c>
      <c r="AB53" s="85">
        <f t="shared" si="69"/>
        <v>0</v>
      </c>
      <c r="AC53" s="85">
        <f t="shared" si="69"/>
        <v>0</v>
      </c>
      <c r="AD53" s="85">
        <f t="shared" si="69"/>
        <v>0</v>
      </c>
      <c r="AF53" s="83">
        <f t="shared" si="67"/>
        <v>0</v>
      </c>
      <c r="AG53" s="82" t="b">
        <f t="shared" si="68"/>
        <v>1</v>
      </c>
    </row>
    <row r="54" spans="1:33" x14ac:dyDescent="0.25">
      <c r="A54" s="44"/>
      <c r="B54" s="44"/>
      <c r="C54" s="68"/>
      <c r="D54" s="86"/>
      <c r="E54" s="81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S54" s="86"/>
      <c r="T54" s="86"/>
      <c r="U54" s="185"/>
      <c r="V54" s="244"/>
      <c r="W54" s="86"/>
      <c r="X54" s="86"/>
      <c r="Y54" s="86"/>
      <c r="Z54" s="86"/>
      <c r="AA54" s="86"/>
      <c r="AB54" s="86"/>
      <c r="AC54" s="86"/>
      <c r="AD54" s="86"/>
      <c r="AF54" s="83"/>
      <c r="AG54" s="82"/>
    </row>
    <row r="55" spans="1:33" x14ac:dyDescent="0.25">
      <c r="A55" s="44"/>
      <c r="B55" s="44"/>
      <c r="C55" s="68" t="s">
        <v>90</v>
      </c>
      <c r="D55" s="84"/>
      <c r="E55" s="81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S55" s="86"/>
      <c r="T55" s="86"/>
      <c r="U55" s="185"/>
      <c r="V55" s="244"/>
      <c r="W55" s="86"/>
      <c r="X55" s="86"/>
      <c r="Y55" s="86"/>
      <c r="Z55" s="86"/>
      <c r="AA55" s="86"/>
      <c r="AB55" s="86"/>
      <c r="AC55" s="86"/>
      <c r="AD55" s="86"/>
      <c r="AF55" s="83"/>
      <c r="AG55" s="82"/>
    </row>
    <row r="56" spans="1:33" x14ac:dyDescent="0.25">
      <c r="A56" s="44"/>
      <c r="B56" s="44">
        <f>+MAX($B$1:B55)+1</f>
        <v>70</v>
      </c>
      <c r="C56" s="64" t="s">
        <v>91</v>
      </c>
      <c r="D56" s="84">
        <f>724*0</f>
        <v>0</v>
      </c>
      <c r="E56" s="81"/>
      <c r="F56" s="199">
        <v>8.3333333333333329E-2</v>
      </c>
      <c r="G56" s="199">
        <v>8.3333333333333329E-2</v>
      </c>
      <c r="H56" s="199">
        <v>8.3333333333333329E-2</v>
      </c>
      <c r="I56" s="199">
        <v>8.3333333333333329E-2</v>
      </c>
      <c r="J56" s="199">
        <v>8.3333333333333329E-2</v>
      </c>
      <c r="K56" s="199">
        <v>8.3333333333333329E-2</v>
      </c>
      <c r="L56" s="199">
        <v>8.3333333333333329E-2</v>
      </c>
      <c r="M56" s="199">
        <v>8.3333333333333329E-2</v>
      </c>
      <c r="N56" s="199">
        <v>8.3333333333333329E-2</v>
      </c>
      <c r="O56" s="199">
        <v>8.3333333333333329E-2</v>
      </c>
      <c r="P56" s="199">
        <v>8.3333333333333329E-2</v>
      </c>
      <c r="Q56" s="199">
        <v>8.3333333333333329E-2</v>
      </c>
      <c r="S56" s="84">
        <f>IFERROR($D56*F56,"")</f>
        <v>0</v>
      </c>
      <c r="T56" s="84">
        <f t="shared" ref="T56:T62" si="70">IFERROR($D56*G56,"")</f>
        <v>0</v>
      </c>
      <c r="U56" s="184">
        <f t="shared" ref="U56:U62" si="71">IFERROR($D56*H56,"")</f>
        <v>0</v>
      </c>
      <c r="V56" s="243">
        <f t="shared" ref="V56:V62" si="72">IFERROR($D56*I56,"")</f>
        <v>0</v>
      </c>
      <c r="W56" s="84">
        <f t="shared" ref="W56:W62" si="73">IFERROR($D56*J56,"")</f>
        <v>0</v>
      </c>
      <c r="X56" s="84">
        <f t="shared" ref="X56:X62" si="74">IFERROR($D56*K56,"")</f>
        <v>0</v>
      </c>
      <c r="Y56" s="84">
        <f t="shared" ref="Y56:Y62" si="75">IFERROR($D56*L56,"")</f>
        <v>0</v>
      </c>
      <c r="Z56" s="84">
        <f t="shared" ref="Z56:Z62" si="76">IFERROR($D56*M56,"")</f>
        <v>0</v>
      </c>
      <c r="AA56" s="84">
        <f t="shared" ref="AA56:AA62" si="77">IFERROR($D56*N56,"")</f>
        <v>0</v>
      </c>
      <c r="AB56" s="84">
        <f t="shared" ref="AB56:AB62" si="78">IFERROR($D56*O56,"")</f>
        <v>0</v>
      </c>
      <c r="AC56" s="84">
        <f t="shared" ref="AC56:AC62" si="79">IFERROR($D56*P56,"")</f>
        <v>0</v>
      </c>
      <c r="AD56" s="84">
        <f t="shared" ref="AD56:AD62" si="80">IFERROR($D56*Q56,"")</f>
        <v>0</v>
      </c>
      <c r="AF56" s="83">
        <f t="shared" ref="AF56:AF65" si="81">SUM(S56:AD56)</f>
        <v>0</v>
      </c>
      <c r="AG56" s="82" t="b">
        <f t="shared" ref="AG56:AG65" si="82">AF56=D56</f>
        <v>1</v>
      </c>
    </row>
    <row r="57" spans="1:33" x14ac:dyDescent="0.25">
      <c r="A57" s="44"/>
      <c r="B57" s="44">
        <f>+MAX($B$1:B56)+1</f>
        <v>71</v>
      </c>
      <c r="C57" s="64" t="s">
        <v>92</v>
      </c>
      <c r="D57" s="84">
        <f>244*0</f>
        <v>0</v>
      </c>
      <c r="E57" s="81"/>
      <c r="F57" s="199">
        <v>8.3333333333333329E-2</v>
      </c>
      <c r="G57" s="199">
        <v>8.3333333333333329E-2</v>
      </c>
      <c r="H57" s="199">
        <v>8.3333333333333329E-2</v>
      </c>
      <c r="I57" s="199">
        <v>8.3333333333333329E-2</v>
      </c>
      <c r="J57" s="199">
        <v>8.3333333333333329E-2</v>
      </c>
      <c r="K57" s="199">
        <v>8.3333333333333329E-2</v>
      </c>
      <c r="L57" s="199">
        <v>8.3333333333333329E-2</v>
      </c>
      <c r="M57" s="199">
        <v>8.3333333333333329E-2</v>
      </c>
      <c r="N57" s="199">
        <v>8.3333333333333329E-2</v>
      </c>
      <c r="O57" s="199">
        <v>8.3333333333333329E-2</v>
      </c>
      <c r="P57" s="199">
        <v>8.3333333333333329E-2</v>
      </c>
      <c r="Q57" s="199">
        <v>8.3333333333333329E-2</v>
      </c>
      <c r="S57" s="84">
        <f t="shared" ref="S57:S64" si="83">IFERROR($D57*F57,"")</f>
        <v>0</v>
      </c>
      <c r="T57" s="84">
        <f t="shared" si="70"/>
        <v>0</v>
      </c>
      <c r="U57" s="184">
        <f t="shared" si="71"/>
        <v>0</v>
      </c>
      <c r="V57" s="243">
        <f t="shared" si="72"/>
        <v>0</v>
      </c>
      <c r="W57" s="84">
        <f t="shared" si="73"/>
        <v>0</v>
      </c>
      <c r="X57" s="84">
        <f t="shared" si="74"/>
        <v>0</v>
      </c>
      <c r="Y57" s="84">
        <f t="shared" si="75"/>
        <v>0</v>
      </c>
      <c r="Z57" s="84">
        <f t="shared" si="76"/>
        <v>0</v>
      </c>
      <c r="AA57" s="84">
        <f t="shared" si="77"/>
        <v>0</v>
      </c>
      <c r="AB57" s="84">
        <f t="shared" si="78"/>
        <v>0</v>
      </c>
      <c r="AC57" s="84">
        <f t="shared" si="79"/>
        <v>0</v>
      </c>
      <c r="AD57" s="84">
        <f t="shared" si="80"/>
        <v>0</v>
      </c>
      <c r="AF57" s="83">
        <f t="shared" si="81"/>
        <v>0</v>
      </c>
      <c r="AG57" s="82" t="b">
        <f t="shared" si="82"/>
        <v>1</v>
      </c>
    </row>
    <row r="58" spans="1:33" x14ac:dyDescent="0.25">
      <c r="A58" s="44"/>
      <c r="B58" s="44">
        <f>+MAX($B$1:B57)+1</f>
        <v>72</v>
      </c>
      <c r="C58" s="64" t="s">
        <v>94</v>
      </c>
      <c r="D58" s="84">
        <f>1712*0</f>
        <v>0</v>
      </c>
      <c r="E58" s="81"/>
      <c r="F58" s="199">
        <v>8.3333333333333329E-2</v>
      </c>
      <c r="G58" s="199">
        <v>8.3333333333333329E-2</v>
      </c>
      <c r="H58" s="199">
        <v>8.3333333333333329E-2</v>
      </c>
      <c r="I58" s="199">
        <v>8.3333333333333329E-2</v>
      </c>
      <c r="J58" s="199">
        <v>8.3333333333333329E-2</v>
      </c>
      <c r="K58" s="199">
        <v>8.3333333333333329E-2</v>
      </c>
      <c r="L58" s="199">
        <v>8.3333333333333329E-2</v>
      </c>
      <c r="M58" s="199">
        <v>8.3333333333333329E-2</v>
      </c>
      <c r="N58" s="199">
        <v>8.3333333333333329E-2</v>
      </c>
      <c r="O58" s="199">
        <v>8.3333333333333329E-2</v>
      </c>
      <c r="P58" s="199">
        <v>8.3333333333333329E-2</v>
      </c>
      <c r="Q58" s="199">
        <v>8.3333333333333329E-2</v>
      </c>
      <c r="S58" s="84">
        <f t="shared" si="83"/>
        <v>0</v>
      </c>
      <c r="T58" s="84">
        <f t="shared" si="70"/>
        <v>0</v>
      </c>
      <c r="U58" s="184">
        <f t="shared" si="71"/>
        <v>0</v>
      </c>
      <c r="V58" s="243">
        <f t="shared" si="72"/>
        <v>0</v>
      </c>
      <c r="W58" s="84">
        <f t="shared" si="73"/>
        <v>0</v>
      </c>
      <c r="X58" s="84">
        <f t="shared" si="74"/>
        <v>0</v>
      </c>
      <c r="Y58" s="84">
        <f t="shared" si="75"/>
        <v>0</v>
      </c>
      <c r="Z58" s="84">
        <f t="shared" si="76"/>
        <v>0</v>
      </c>
      <c r="AA58" s="84">
        <f t="shared" si="77"/>
        <v>0</v>
      </c>
      <c r="AB58" s="84">
        <f t="shared" si="78"/>
        <v>0</v>
      </c>
      <c r="AC58" s="84">
        <f t="shared" si="79"/>
        <v>0</v>
      </c>
      <c r="AD58" s="84">
        <f t="shared" si="80"/>
        <v>0</v>
      </c>
      <c r="AF58" s="83">
        <f t="shared" si="81"/>
        <v>0</v>
      </c>
      <c r="AG58" s="82" t="b">
        <f t="shared" si="82"/>
        <v>1</v>
      </c>
    </row>
    <row r="59" spans="1:33" x14ac:dyDescent="0.25">
      <c r="A59" s="44"/>
      <c r="B59" s="44">
        <f>+MAX($B$1:B58)+1</f>
        <v>73</v>
      </c>
      <c r="C59" s="64" t="s">
        <v>95</v>
      </c>
      <c r="D59" s="84">
        <f>80*0</f>
        <v>0</v>
      </c>
      <c r="E59" s="81"/>
      <c r="F59" s="199">
        <v>8.3333333333333329E-2</v>
      </c>
      <c r="G59" s="199">
        <v>8.3333333333333329E-2</v>
      </c>
      <c r="H59" s="199">
        <v>8.3333333333333329E-2</v>
      </c>
      <c r="I59" s="199">
        <v>8.3333333333333329E-2</v>
      </c>
      <c r="J59" s="199">
        <v>8.3333333333333329E-2</v>
      </c>
      <c r="K59" s="199">
        <v>8.3333333333333329E-2</v>
      </c>
      <c r="L59" s="199">
        <v>8.3333333333333329E-2</v>
      </c>
      <c r="M59" s="199">
        <v>8.3333333333333329E-2</v>
      </c>
      <c r="N59" s="199">
        <v>8.3333333333333329E-2</v>
      </c>
      <c r="O59" s="199">
        <v>8.3333333333333329E-2</v>
      </c>
      <c r="P59" s="199">
        <v>8.3333333333333329E-2</v>
      </c>
      <c r="Q59" s="199">
        <v>8.3333333333333329E-2</v>
      </c>
      <c r="S59" s="84">
        <f t="shared" si="83"/>
        <v>0</v>
      </c>
      <c r="T59" s="84">
        <f t="shared" si="70"/>
        <v>0</v>
      </c>
      <c r="U59" s="184">
        <f t="shared" si="71"/>
        <v>0</v>
      </c>
      <c r="V59" s="243">
        <f t="shared" si="72"/>
        <v>0</v>
      </c>
      <c r="W59" s="84">
        <f t="shared" si="73"/>
        <v>0</v>
      </c>
      <c r="X59" s="84">
        <f t="shared" si="74"/>
        <v>0</v>
      </c>
      <c r="Y59" s="84">
        <f t="shared" si="75"/>
        <v>0</v>
      </c>
      <c r="Z59" s="84">
        <f t="shared" si="76"/>
        <v>0</v>
      </c>
      <c r="AA59" s="84">
        <f t="shared" si="77"/>
        <v>0</v>
      </c>
      <c r="AB59" s="84">
        <f t="shared" si="78"/>
        <v>0</v>
      </c>
      <c r="AC59" s="84">
        <f t="shared" si="79"/>
        <v>0</v>
      </c>
      <c r="AD59" s="84">
        <f t="shared" si="80"/>
        <v>0</v>
      </c>
      <c r="AF59" s="83">
        <f t="shared" si="81"/>
        <v>0</v>
      </c>
      <c r="AG59" s="82" t="b">
        <f t="shared" si="82"/>
        <v>1</v>
      </c>
    </row>
    <row r="60" spans="1:33" x14ac:dyDescent="0.25">
      <c r="A60" s="44"/>
      <c r="B60" s="44">
        <f>+MAX($B$1:B59)+1</f>
        <v>74</v>
      </c>
      <c r="C60" s="64" t="s">
        <v>97</v>
      </c>
      <c r="D60" s="84">
        <f>187*0</f>
        <v>0</v>
      </c>
      <c r="E60" s="81"/>
      <c r="F60" s="199">
        <v>8.3333333333333329E-2</v>
      </c>
      <c r="G60" s="199">
        <v>8.3333333333333329E-2</v>
      </c>
      <c r="H60" s="199">
        <v>8.3333333333333329E-2</v>
      </c>
      <c r="I60" s="199">
        <v>8.3333333333333329E-2</v>
      </c>
      <c r="J60" s="199">
        <v>8.3333333333333329E-2</v>
      </c>
      <c r="K60" s="199">
        <v>8.3333333333333329E-2</v>
      </c>
      <c r="L60" s="199">
        <v>8.3333333333333329E-2</v>
      </c>
      <c r="M60" s="199">
        <v>8.3333333333333329E-2</v>
      </c>
      <c r="N60" s="199">
        <v>8.3333333333333329E-2</v>
      </c>
      <c r="O60" s="199">
        <v>8.3333333333333329E-2</v>
      </c>
      <c r="P60" s="199">
        <v>8.3333333333333329E-2</v>
      </c>
      <c r="Q60" s="199">
        <v>8.3333333333333329E-2</v>
      </c>
      <c r="S60" s="84">
        <f t="shared" si="83"/>
        <v>0</v>
      </c>
      <c r="T60" s="84">
        <f t="shared" si="70"/>
        <v>0</v>
      </c>
      <c r="U60" s="184">
        <f t="shared" si="71"/>
        <v>0</v>
      </c>
      <c r="V60" s="243">
        <f t="shared" si="72"/>
        <v>0</v>
      </c>
      <c r="W60" s="84">
        <f t="shared" si="73"/>
        <v>0</v>
      </c>
      <c r="X60" s="84">
        <f t="shared" si="74"/>
        <v>0</v>
      </c>
      <c r="Y60" s="84">
        <f t="shared" si="75"/>
        <v>0</v>
      </c>
      <c r="Z60" s="84">
        <f t="shared" si="76"/>
        <v>0</v>
      </c>
      <c r="AA60" s="84">
        <f t="shared" si="77"/>
        <v>0</v>
      </c>
      <c r="AB60" s="84">
        <f t="shared" si="78"/>
        <v>0</v>
      </c>
      <c r="AC60" s="84">
        <f t="shared" si="79"/>
        <v>0</v>
      </c>
      <c r="AD60" s="84">
        <f t="shared" si="80"/>
        <v>0</v>
      </c>
      <c r="AF60" s="83">
        <f t="shared" si="81"/>
        <v>0</v>
      </c>
      <c r="AG60" s="82" t="b">
        <f t="shared" si="82"/>
        <v>1</v>
      </c>
    </row>
    <row r="61" spans="1:33" x14ac:dyDescent="0.25">
      <c r="A61" s="44"/>
      <c r="B61" s="44">
        <f>+MAX($B$1:B60)+1</f>
        <v>75</v>
      </c>
      <c r="C61" s="64" t="s">
        <v>98</v>
      </c>
      <c r="D61" s="84">
        <f>731*0</f>
        <v>0</v>
      </c>
      <c r="E61" s="81"/>
      <c r="F61" s="199">
        <v>8.3333333333333329E-2</v>
      </c>
      <c r="G61" s="199">
        <v>8.3333333333333329E-2</v>
      </c>
      <c r="H61" s="199">
        <v>8.3333333333333329E-2</v>
      </c>
      <c r="I61" s="199">
        <v>8.3333333333333329E-2</v>
      </c>
      <c r="J61" s="199">
        <v>8.3333333333333329E-2</v>
      </c>
      <c r="K61" s="199">
        <v>8.3333333333333329E-2</v>
      </c>
      <c r="L61" s="199">
        <v>8.3333333333333329E-2</v>
      </c>
      <c r="M61" s="199">
        <v>8.3333333333333329E-2</v>
      </c>
      <c r="N61" s="199">
        <v>8.3333333333333329E-2</v>
      </c>
      <c r="O61" s="199">
        <v>8.3333333333333329E-2</v>
      </c>
      <c r="P61" s="199">
        <v>8.3333333333333329E-2</v>
      </c>
      <c r="Q61" s="199">
        <v>8.3333333333333329E-2</v>
      </c>
      <c r="S61" s="84">
        <f t="shared" si="83"/>
        <v>0</v>
      </c>
      <c r="T61" s="84">
        <f t="shared" si="70"/>
        <v>0</v>
      </c>
      <c r="U61" s="184">
        <f t="shared" si="71"/>
        <v>0</v>
      </c>
      <c r="V61" s="243">
        <f t="shared" si="72"/>
        <v>0</v>
      </c>
      <c r="W61" s="84">
        <f t="shared" si="73"/>
        <v>0</v>
      </c>
      <c r="X61" s="84">
        <f t="shared" si="74"/>
        <v>0</v>
      </c>
      <c r="Y61" s="84">
        <f t="shared" si="75"/>
        <v>0</v>
      </c>
      <c r="Z61" s="84">
        <f t="shared" si="76"/>
        <v>0</v>
      </c>
      <c r="AA61" s="84">
        <f t="shared" si="77"/>
        <v>0</v>
      </c>
      <c r="AB61" s="84">
        <f t="shared" si="78"/>
        <v>0</v>
      </c>
      <c r="AC61" s="84">
        <f t="shared" si="79"/>
        <v>0</v>
      </c>
      <c r="AD61" s="84">
        <f t="shared" si="80"/>
        <v>0</v>
      </c>
      <c r="AF61" s="83">
        <f t="shared" si="81"/>
        <v>0</v>
      </c>
      <c r="AG61" s="82" t="b">
        <f t="shared" si="82"/>
        <v>1</v>
      </c>
    </row>
    <row r="62" spans="1:33" x14ac:dyDescent="0.25">
      <c r="A62" s="44"/>
      <c r="B62" s="44">
        <f>+MAX($B$1:B61)+1</f>
        <v>76</v>
      </c>
      <c r="C62" s="64" t="s">
        <v>100</v>
      </c>
      <c r="D62" s="84">
        <f>1792*0</f>
        <v>0</v>
      </c>
      <c r="E62" s="81"/>
      <c r="F62" s="199">
        <v>8.3333333333333329E-2</v>
      </c>
      <c r="G62" s="199">
        <v>8.3333333333333329E-2</v>
      </c>
      <c r="H62" s="199">
        <v>8.3333333333333329E-2</v>
      </c>
      <c r="I62" s="199">
        <v>8.3333333333333329E-2</v>
      </c>
      <c r="J62" s="199">
        <v>8.3333333333333329E-2</v>
      </c>
      <c r="K62" s="199">
        <v>8.3333333333333329E-2</v>
      </c>
      <c r="L62" s="199">
        <v>8.3333333333333329E-2</v>
      </c>
      <c r="M62" s="199">
        <v>8.3333333333333329E-2</v>
      </c>
      <c r="N62" s="199">
        <v>8.3333333333333329E-2</v>
      </c>
      <c r="O62" s="199">
        <v>8.3333333333333329E-2</v>
      </c>
      <c r="P62" s="199">
        <v>8.3333333333333329E-2</v>
      </c>
      <c r="Q62" s="199">
        <v>8.3333333333333329E-2</v>
      </c>
      <c r="S62" s="84">
        <f t="shared" si="83"/>
        <v>0</v>
      </c>
      <c r="T62" s="84">
        <f t="shared" si="70"/>
        <v>0</v>
      </c>
      <c r="U62" s="184">
        <f t="shared" si="71"/>
        <v>0</v>
      </c>
      <c r="V62" s="243">
        <f t="shared" si="72"/>
        <v>0</v>
      </c>
      <c r="W62" s="84">
        <f t="shared" si="73"/>
        <v>0</v>
      </c>
      <c r="X62" s="84">
        <f t="shared" si="74"/>
        <v>0</v>
      </c>
      <c r="Y62" s="84">
        <f t="shared" si="75"/>
        <v>0</v>
      </c>
      <c r="Z62" s="84">
        <f t="shared" si="76"/>
        <v>0</v>
      </c>
      <c r="AA62" s="84">
        <f t="shared" si="77"/>
        <v>0</v>
      </c>
      <c r="AB62" s="84">
        <f t="shared" si="78"/>
        <v>0</v>
      </c>
      <c r="AC62" s="84">
        <f t="shared" si="79"/>
        <v>0</v>
      </c>
      <c r="AD62" s="84">
        <f t="shared" si="80"/>
        <v>0</v>
      </c>
      <c r="AF62" s="83">
        <f t="shared" si="81"/>
        <v>0</v>
      </c>
      <c r="AG62" s="82" t="b">
        <f t="shared" si="82"/>
        <v>1</v>
      </c>
    </row>
    <row r="63" spans="1:33" x14ac:dyDescent="0.25">
      <c r="A63" s="44"/>
      <c r="B63" s="44"/>
      <c r="C63" s="68" t="s">
        <v>109</v>
      </c>
      <c r="D63" s="85">
        <f>SUM(D56:D62)</f>
        <v>0</v>
      </c>
      <c r="E63" s="81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S63" s="85">
        <f>SUM(S56:S62)</f>
        <v>0</v>
      </c>
      <c r="T63" s="85">
        <f t="shared" ref="T63:AD63" si="84">SUM(T56:T62)</f>
        <v>0</v>
      </c>
      <c r="U63" s="187">
        <f t="shared" si="84"/>
        <v>0</v>
      </c>
      <c r="V63" s="242">
        <f t="shared" si="84"/>
        <v>0</v>
      </c>
      <c r="W63" s="85">
        <f t="shared" si="84"/>
        <v>0</v>
      </c>
      <c r="X63" s="85">
        <f t="shared" si="84"/>
        <v>0</v>
      </c>
      <c r="Y63" s="85">
        <f t="shared" si="84"/>
        <v>0</v>
      </c>
      <c r="Z63" s="85">
        <f t="shared" si="84"/>
        <v>0</v>
      </c>
      <c r="AA63" s="85">
        <f t="shared" si="84"/>
        <v>0</v>
      </c>
      <c r="AB63" s="85">
        <f t="shared" si="84"/>
        <v>0</v>
      </c>
      <c r="AC63" s="85">
        <f t="shared" si="84"/>
        <v>0</v>
      </c>
      <c r="AD63" s="85">
        <f t="shared" si="84"/>
        <v>0</v>
      </c>
      <c r="AF63" s="83">
        <f t="shared" si="81"/>
        <v>0</v>
      </c>
      <c r="AG63" s="82" t="b">
        <f t="shared" si="82"/>
        <v>1</v>
      </c>
    </row>
    <row r="64" spans="1:33" x14ac:dyDescent="0.25">
      <c r="A64" s="44"/>
      <c r="B64" s="44">
        <f>+MAX($B$1:B63)+1</f>
        <v>77</v>
      </c>
      <c r="C64" s="236" t="s">
        <v>39</v>
      </c>
      <c r="D64" s="84">
        <f>2537*0</f>
        <v>0</v>
      </c>
      <c r="E64" s="81"/>
      <c r="F64" s="199">
        <v>8.3333333333333329E-2</v>
      </c>
      <c r="G64" s="199">
        <v>8.3333333333333329E-2</v>
      </c>
      <c r="H64" s="199">
        <v>8.3333333333333329E-2</v>
      </c>
      <c r="I64" s="199">
        <v>8.3333333333333329E-2</v>
      </c>
      <c r="J64" s="199">
        <v>8.3333333333333329E-2</v>
      </c>
      <c r="K64" s="199">
        <v>8.3333333333333329E-2</v>
      </c>
      <c r="L64" s="199">
        <v>8.3333333333333329E-2</v>
      </c>
      <c r="M64" s="199">
        <v>8.3333333333333329E-2</v>
      </c>
      <c r="N64" s="199">
        <v>8.3333333333333329E-2</v>
      </c>
      <c r="O64" s="199">
        <v>8.3333333333333329E-2</v>
      </c>
      <c r="P64" s="199">
        <v>8.3333333333333329E-2</v>
      </c>
      <c r="Q64" s="199">
        <v>8.3333333333333329E-2</v>
      </c>
      <c r="S64" s="84">
        <f t="shared" si="83"/>
        <v>0</v>
      </c>
      <c r="T64" s="84">
        <f t="shared" ref="T64:T65" si="85">IFERROR($D64*G64,"")</f>
        <v>0</v>
      </c>
      <c r="U64" s="184">
        <f t="shared" ref="U64:U65" si="86">IFERROR($D64*H64,"")</f>
        <v>0</v>
      </c>
      <c r="V64" s="243">
        <f t="shared" ref="V64:V65" si="87">IFERROR($D64*I64,"")</f>
        <v>0</v>
      </c>
      <c r="W64" s="84">
        <f t="shared" ref="W64:W65" si="88">IFERROR($D64*J64,"")</f>
        <v>0</v>
      </c>
      <c r="X64" s="84">
        <f t="shared" ref="X64:X65" si="89">IFERROR($D64*K64,"")</f>
        <v>0</v>
      </c>
      <c r="Y64" s="84">
        <f t="shared" ref="Y64:Y65" si="90">IFERROR($D64*L64,"")</f>
        <v>0</v>
      </c>
      <c r="Z64" s="84">
        <f t="shared" ref="Z64:Z65" si="91">IFERROR($D64*M64,"")</f>
        <v>0</v>
      </c>
      <c r="AA64" s="84">
        <f t="shared" ref="AA64:AA65" si="92">IFERROR($D64*N64,"")</f>
        <v>0</v>
      </c>
      <c r="AB64" s="84">
        <f t="shared" ref="AB64:AB65" si="93">IFERROR($D64*O64,"")</f>
        <v>0</v>
      </c>
      <c r="AC64" s="84">
        <f t="shared" ref="AC64:AC65" si="94">IFERROR($D64*P64,"")</f>
        <v>0</v>
      </c>
      <c r="AD64" s="84">
        <f t="shared" ref="AD64:AD65" si="95">IFERROR($D64*Q64,"")</f>
        <v>0</v>
      </c>
      <c r="AF64" s="83">
        <f t="shared" si="81"/>
        <v>0</v>
      </c>
      <c r="AG64" s="82" t="b">
        <f t="shared" si="82"/>
        <v>1</v>
      </c>
    </row>
    <row r="65" spans="1:35" x14ac:dyDescent="0.25">
      <c r="A65" s="44"/>
      <c r="B65" s="44">
        <f>+MAX($B$1:B64)+1</f>
        <v>78</v>
      </c>
      <c r="C65" s="236" t="s">
        <v>83</v>
      </c>
      <c r="D65" s="84">
        <f>1234*0</f>
        <v>0</v>
      </c>
      <c r="E65" s="81"/>
      <c r="F65" s="199">
        <v>8.3333333333333329E-2</v>
      </c>
      <c r="G65" s="199">
        <v>8.3333333333333329E-2</v>
      </c>
      <c r="H65" s="199">
        <v>8.3333333333333329E-2</v>
      </c>
      <c r="I65" s="199">
        <v>8.3333333333333329E-2</v>
      </c>
      <c r="J65" s="199">
        <v>8.3333333333333329E-2</v>
      </c>
      <c r="K65" s="199">
        <v>8.3333333333333329E-2</v>
      </c>
      <c r="L65" s="199">
        <v>8.3333333333333329E-2</v>
      </c>
      <c r="M65" s="199">
        <v>8.3333333333333329E-2</v>
      </c>
      <c r="N65" s="199">
        <v>8.3333333333333329E-2</v>
      </c>
      <c r="O65" s="199">
        <v>8.3333333333333329E-2</v>
      </c>
      <c r="P65" s="199">
        <v>8.3333333333333329E-2</v>
      </c>
      <c r="Q65" s="199">
        <v>8.3333333333333329E-2</v>
      </c>
      <c r="S65" s="84">
        <f>IFERROR($D65*F65,"")</f>
        <v>0</v>
      </c>
      <c r="T65" s="84">
        <f t="shared" si="85"/>
        <v>0</v>
      </c>
      <c r="U65" s="184">
        <f t="shared" si="86"/>
        <v>0</v>
      </c>
      <c r="V65" s="243">
        <f t="shared" si="87"/>
        <v>0</v>
      </c>
      <c r="W65" s="84">
        <f t="shared" si="88"/>
        <v>0</v>
      </c>
      <c r="X65" s="84">
        <f t="shared" si="89"/>
        <v>0</v>
      </c>
      <c r="Y65" s="84">
        <f t="shared" si="90"/>
        <v>0</v>
      </c>
      <c r="Z65" s="84">
        <f t="shared" si="91"/>
        <v>0</v>
      </c>
      <c r="AA65" s="84">
        <f t="shared" si="92"/>
        <v>0</v>
      </c>
      <c r="AB65" s="84">
        <f t="shared" si="93"/>
        <v>0</v>
      </c>
      <c r="AC65" s="84">
        <f t="shared" si="94"/>
        <v>0</v>
      </c>
      <c r="AD65" s="84">
        <f t="shared" si="95"/>
        <v>0</v>
      </c>
      <c r="AF65" s="83">
        <f t="shared" si="81"/>
        <v>0</v>
      </c>
      <c r="AG65" s="82" t="b">
        <f t="shared" si="82"/>
        <v>1</v>
      </c>
    </row>
    <row r="66" spans="1:35" x14ac:dyDescent="0.25">
      <c r="A66" s="44"/>
      <c r="B66" s="44"/>
      <c r="C66" s="68" t="s">
        <v>110</v>
      </c>
      <c r="D66" s="85">
        <f>SUM(D53,D63:D65)</f>
        <v>0</v>
      </c>
      <c r="E66" s="81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S66" s="85">
        <f t="shared" ref="S66:AD66" si="96">SUM(S53,S63:S65)</f>
        <v>0</v>
      </c>
      <c r="T66" s="85">
        <f t="shared" si="96"/>
        <v>0</v>
      </c>
      <c r="U66" s="187">
        <f t="shared" si="96"/>
        <v>0</v>
      </c>
      <c r="V66" s="242">
        <f t="shared" si="96"/>
        <v>0</v>
      </c>
      <c r="W66" s="85">
        <f t="shared" si="96"/>
        <v>0</v>
      </c>
      <c r="X66" s="85">
        <f t="shared" si="96"/>
        <v>0</v>
      </c>
      <c r="Y66" s="85">
        <f t="shared" si="96"/>
        <v>0</v>
      </c>
      <c r="Z66" s="85">
        <f t="shared" si="96"/>
        <v>0</v>
      </c>
      <c r="AA66" s="85">
        <f t="shared" si="96"/>
        <v>0</v>
      </c>
      <c r="AB66" s="85">
        <f t="shared" si="96"/>
        <v>0</v>
      </c>
      <c r="AC66" s="85">
        <f t="shared" si="96"/>
        <v>0</v>
      </c>
      <c r="AD66" s="85">
        <f t="shared" si="96"/>
        <v>0</v>
      </c>
      <c r="AF66" s="83">
        <f>SUM(S66:AD66)</f>
        <v>0</v>
      </c>
      <c r="AG66" s="82" t="b">
        <f>AF66=D66</f>
        <v>1</v>
      </c>
    </row>
    <row r="67" spans="1:35" x14ac:dyDescent="0.25">
      <c r="A67" s="44"/>
      <c r="B67" s="44"/>
      <c r="C67" s="68"/>
      <c r="D67" s="84"/>
      <c r="E67" s="81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S67" s="86"/>
      <c r="T67" s="86"/>
      <c r="U67" s="185"/>
      <c r="V67" s="244"/>
      <c r="W67" s="86"/>
      <c r="X67" s="86"/>
      <c r="Y67" s="86"/>
      <c r="Z67" s="86"/>
      <c r="AA67" s="86"/>
      <c r="AB67" s="86"/>
      <c r="AC67" s="86"/>
      <c r="AD67" s="86"/>
      <c r="AF67" s="83"/>
      <c r="AG67" s="82"/>
    </row>
    <row r="68" spans="1:35" ht="16.5" x14ac:dyDescent="0.25">
      <c r="A68" s="44"/>
      <c r="B68" s="44"/>
      <c r="C68" s="291" t="s">
        <v>251</v>
      </c>
      <c r="D68" s="84"/>
      <c r="E68" s="81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S68" s="86"/>
      <c r="T68" s="86"/>
      <c r="U68" s="185"/>
      <c r="V68" s="244"/>
      <c r="W68" s="86"/>
      <c r="X68" s="86"/>
      <c r="Y68" s="86"/>
      <c r="Z68" s="86"/>
      <c r="AA68" s="86"/>
      <c r="AB68" s="86"/>
      <c r="AC68" s="86"/>
      <c r="AD68" s="86"/>
      <c r="AF68" s="83"/>
      <c r="AG68" s="82"/>
    </row>
    <row r="69" spans="1:35" x14ac:dyDescent="0.25">
      <c r="A69" s="44"/>
      <c r="B69" s="44">
        <f>+MAX($B$1:B68)+1</f>
        <v>79</v>
      </c>
      <c r="C69" s="64" t="s">
        <v>112</v>
      </c>
      <c r="D69" s="84">
        <f>SUM(S69:AD69)</f>
        <v>280405.85411776003</v>
      </c>
      <c r="E69" s="81"/>
      <c r="F69" s="199">
        <f>S69/$D$69</f>
        <v>7.6046420403921997E-2</v>
      </c>
      <c r="G69" s="199">
        <f>T69/$D$69</f>
        <v>6.4097356879046816E-2</v>
      </c>
      <c r="H69" s="199">
        <f>U69/$D$69</f>
        <v>7.0079216904678013E-2</v>
      </c>
      <c r="I69" s="199">
        <f t="shared" ref="I69:P69" si="97">V69/$D$69</f>
        <v>6.7383948806307228E-2</v>
      </c>
      <c r="J69" s="199">
        <f t="shared" si="97"/>
        <v>8.1098569897580783E-2</v>
      </c>
      <c r="K69" s="199">
        <f t="shared" si="97"/>
        <v>8.2263380482679449E-2</v>
      </c>
      <c r="L69" s="199">
        <f t="shared" si="97"/>
        <v>8.8690898713961089E-2</v>
      </c>
      <c r="M69" s="199">
        <f t="shared" si="97"/>
        <v>8.8500549620972521E-2</v>
      </c>
      <c r="N69" s="199">
        <f t="shared" si="97"/>
        <v>8.7610411464672897E-2</v>
      </c>
      <c r="O69" s="199">
        <f t="shared" si="97"/>
        <v>8.5592108202850389E-2</v>
      </c>
      <c r="P69" s="199">
        <f t="shared" si="97"/>
        <v>7.9478102468576339E-2</v>
      </c>
      <c r="Q69" s="199">
        <f>AD69/$D$69</f>
        <v>0.12915903615475244</v>
      </c>
      <c r="S69" s="84">
        <v>21323.861465960003</v>
      </c>
      <c r="T69" s="84">
        <v>17973.274102360003</v>
      </c>
      <c r="U69" s="184">
        <v>19650.622672060006</v>
      </c>
      <c r="V69" s="243">
        <v>18894.853718859995</v>
      </c>
      <c r="W69" s="84">
        <v>22740.513759860001</v>
      </c>
      <c r="X69" s="84">
        <v>23067.133466859999</v>
      </c>
      <c r="Y69" s="84">
        <v>24869.447206360004</v>
      </c>
      <c r="Z69" s="84">
        <v>24816.072206360004</v>
      </c>
      <c r="AA69" s="84">
        <v>24566.472256360001</v>
      </c>
      <c r="AB69" s="84">
        <v>24000.528206359999</v>
      </c>
      <c r="AC69" s="84">
        <v>22286.12520636</v>
      </c>
      <c r="AD69" s="84">
        <v>36216.949850000005</v>
      </c>
      <c r="AF69" s="83">
        <f>SUM(S69:AD69)</f>
        <v>280405.85411776003</v>
      </c>
      <c r="AG69" s="82" t="b">
        <f>AF69=D69</f>
        <v>1</v>
      </c>
    </row>
    <row r="70" spans="1:35" x14ac:dyDescent="0.25">
      <c r="A70" s="44"/>
      <c r="B70" s="44">
        <f>+MAX($B$1:B69)+1</f>
        <v>80</v>
      </c>
      <c r="C70" s="64" t="s">
        <v>113</v>
      </c>
      <c r="D70" s="84">
        <f>SUM(S70:AD70)</f>
        <v>275871.2792074685</v>
      </c>
      <c r="E70" s="81"/>
      <c r="F70" s="199">
        <f>S70/$D$70</f>
        <v>8.7661875262478192E-2</v>
      </c>
      <c r="G70" s="199">
        <f>T70/$D$70</f>
        <v>8.3628149869980434E-2</v>
      </c>
      <c r="H70" s="199">
        <f>U70/$D$70</f>
        <v>8.8107004296398575E-2</v>
      </c>
      <c r="I70" s="199">
        <f>V70/$D$70</f>
        <v>8.3261127248811337E-2</v>
      </c>
      <c r="J70" s="199">
        <f t="shared" ref="J70:Q70" si="98">W70/$D$70</f>
        <v>8.6150210165632859E-2</v>
      </c>
      <c r="K70" s="199">
        <f t="shared" si="98"/>
        <v>8.9828268653326743E-2</v>
      </c>
      <c r="L70" s="199">
        <f t="shared" si="98"/>
        <v>8.7231910300772986E-2</v>
      </c>
      <c r="M70" s="199">
        <f t="shared" si="98"/>
        <v>8.6790879975508495E-2</v>
      </c>
      <c r="N70" s="199">
        <f t="shared" si="98"/>
        <v>8.7288075263086282E-2</v>
      </c>
      <c r="O70" s="199">
        <f t="shared" si="98"/>
        <v>8.7812378235219202E-2</v>
      </c>
      <c r="P70" s="199">
        <f t="shared" si="98"/>
        <v>8.6997028168165527E-2</v>
      </c>
      <c r="Q70" s="199">
        <f t="shared" si="98"/>
        <v>4.5243092560619487E-2</v>
      </c>
      <c r="S70" s="84">
        <v>24183.393666385397</v>
      </c>
      <c r="T70" s="84">
        <v>23070.604682385394</v>
      </c>
      <c r="U70" s="184">
        <v>24306.191982385397</v>
      </c>
      <c r="V70" s="243">
        <v>22969.353682385397</v>
      </c>
      <c r="W70" s="84">
        <v>23766.368682385393</v>
      </c>
      <c r="X70" s="84">
        <v>24781.039382385392</v>
      </c>
      <c r="Y70" s="84">
        <v>24064.778682385393</v>
      </c>
      <c r="Z70" s="84">
        <v>23943.111082385392</v>
      </c>
      <c r="AA70" s="84">
        <v>24080.272982385399</v>
      </c>
      <c r="AB70" s="84">
        <v>24224.913113999988</v>
      </c>
      <c r="AC70" s="84">
        <v>23999.981447999995</v>
      </c>
      <c r="AD70" s="84">
        <v>12481.26982</v>
      </c>
      <c r="AE70" s="83"/>
      <c r="AF70" s="83">
        <f>SUM(S70:AD70)</f>
        <v>275871.2792074685</v>
      </c>
      <c r="AG70" s="82" t="b">
        <f>AF70=D70</f>
        <v>1</v>
      </c>
    </row>
    <row r="71" spans="1:35" x14ac:dyDescent="0.25">
      <c r="A71" s="44"/>
      <c r="B71" s="44">
        <f>+MAX($B$1:B70)+1</f>
        <v>81</v>
      </c>
      <c r="C71" s="64" t="s">
        <v>114</v>
      </c>
      <c r="D71" s="84">
        <v>13581.634940668178</v>
      </c>
      <c r="E71" s="81"/>
      <c r="F71" s="199">
        <f>S71/$D$71</f>
        <v>9.0549429869372075E-2</v>
      </c>
      <c r="G71" s="199">
        <f t="shared" ref="G71:Q71" si="99">T71/$D$71</f>
        <v>7.2196151487135068E-2</v>
      </c>
      <c r="H71" s="199">
        <f t="shared" si="99"/>
        <v>7.6485673157280484E-2</v>
      </c>
      <c r="I71" s="199">
        <f t="shared" si="99"/>
        <v>7.4776291771732284E-2</v>
      </c>
      <c r="J71" s="199">
        <f t="shared" si="99"/>
        <v>8.1981131339831134E-2</v>
      </c>
      <c r="K71" s="199">
        <f t="shared" si="99"/>
        <v>8.418540004361133E-2</v>
      </c>
      <c r="L71" s="199">
        <f t="shared" si="99"/>
        <v>8.8339112243742718E-2</v>
      </c>
      <c r="M71" s="199">
        <f t="shared" si="99"/>
        <v>8.4682402855148539E-2</v>
      </c>
      <c r="N71" s="199">
        <f t="shared" si="99"/>
        <v>8.4516829195583731E-2</v>
      </c>
      <c r="O71" s="199">
        <f t="shared" si="99"/>
        <v>8.2504634715544811E-2</v>
      </c>
      <c r="P71" s="199">
        <f t="shared" si="99"/>
        <v>7.9157956631605395E-2</v>
      </c>
      <c r="Q71" s="199">
        <f t="shared" si="99"/>
        <v>0.10062498668941249</v>
      </c>
      <c r="S71" s="84">
        <v>1229.8093005714466</v>
      </c>
      <c r="T71" s="84">
        <v>980.54177361944653</v>
      </c>
      <c r="U71" s="84">
        <v>1038.8004910134468</v>
      </c>
      <c r="V71" s="84">
        <v>1015.5842970605577</v>
      </c>
      <c r="W71" s="84">
        <v>1113.4377978805576</v>
      </c>
      <c r="X71" s="84">
        <v>1143.37537072644</v>
      </c>
      <c r="Y71" s="84">
        <v>1199.7895734772242</v>
      </c>
      <c r="Z71" s="84">
        <v>1150.1254814772242</v>
      </c>
      <c r="AA71" s="84">
        <v>1147.8767204772244</v>
      </c>
      <c r="AB71" s="84">
        <v>1120.5478296197082</v>
      </c>
      <c r="AC71" s="84">
        <v>1075.0944696197082</v>
      </c>
      <c r="AD71" s="84">
        <v>1366.651835125195</v>
      </c>
      <c r="AF71" s="83">
        <f>SUM(S71:AD71)</f>
        <v>13581.634940668178</v>
      </c>
      <c r="AG71" s="82" t="b">
        <f t="shared" ref="AG71:AG73" si="100">AF71=D71</f>
        <v>1</v>
      </c>
    </row>
    <row r="72" spans="1:35" x14ac:dyDescent="0.25">
      <c r="A72" s="44"/>
      <c r="B72" s="44">
        <f>+MAX($B$1:B71)+1</f>
        <v>82</v>
      </c>
      <c r="C72" s="64" t="s">
        <v>201</v>
      </c>
      <c r="D72" s="84">
        <v>122804.90196078431</v>
      </c>
      <c r="E72" s="81"/>
      <c r="F72" s="282">
        <f>S72/$D$72</f>
        <v>0.13015123697041753</v>
      </c>
      <c r="G72" s="282">
        <f t="shared" ref="G72:Q72" si="101">T72/$D$72</f>
        <v>6.5007257599344309E-2</v>
      </c>
      <c r="H72" s="282">
        <f t="shared" si="101"/>
        <v>6.5007257599344309E-2</v>
      </c>
      <c r="I72" s="282">
        <f t="shared" si="101"/>
        <v>7.2594882691485257E-2</v>
      </c>
      <c r="J72" s="282">
        <f t="shared" si="101"/>
        <v>7.4630632046831319E-2</v>
      </c>
      <c r="K72" s="282">
        <f t="shared" si="101"/>
        <v>7.5897586645629025E-2</v>
      </c>
      <c r="L72" s="282">
        <f t="shared" si="101"/>
        <v>9.0022894921948052E-2</v>
      </c>
      <c r="M72" s="282">
        <f t="shared" si="101"/>
        <v>7.1227537707811178E-2</v>
      </c>
      <c r="N72" s="282">
        <f t="shared" si="101"/>
        <v>7.1227537707811178E-2</v>
      </c>
      <c r="O72" s="282">
        <f t="shared" si="101"/>
        <v>6.3531260867187758E-2</v>
      </c>
      <c r="P72" s="282">
        <f t="shared" si="101"/>
        <v>6.3531260867187758E-2</v>
      </c>
      <c r="Q72" s="282">
        <f t="shared" si="101"/>
        <v>0.15717065437500236</v>
      </c>
      <c r="S72" s="84">
        <v>15983.20989622693</v>
      </c>
      <c r="T72" s="84">
        <v>7983.2098962269292</v>
      </c>
      <c r="U72" s="84">
        <v>7983.2098962269292</v>
      </c>
      <c r="V72" s="243">
        <v>8915.0074517824851</v>
      </c>
      <c r="W72" s="84">
        <v>9165.0074517824869</v>
      </c>
      <c r="X72" s="84">
        <v>9320.595687076604</v>
      </c>
      <c r="Y72" s="84">
        <v>11055.252785115817</v>
      </c>
      <c r="Z72" s="84">
        <v>8747.090785115819</v>
      </c>
      <c r="AA72" s="84">
        <v>8747.090785115819</v>
      </c>
      <c r="AB72" s="84">
        <v>7801.9502622400059</v>
      </c>
      <c r="AC72" s="84">
        <v>7801.9502622400059</v>
      </c>
      <c r="AD72" s="84">
        <v>19301.326801634481</v>
      </c>
      <c r="AF72" s="83">
        <f t="shared" ref="AF72:AF73" si="102">SUM(S72:AD72)</f>
        <v>122804.90196078431</v>
      </c>
      <c r="AG72" s="82" t="b">
        <f t="shared" si="100"/>
        <v>1</v>
      </c>
    </row>
    <row r="73" spans="1:35" x14ac:dyDescent="0.25">
      <c r="A73" s="44"/>
      <c r="B73" s="44"/>
      <c r="C73" s="68" t="s">
        <v>115</v>
      </c>
      <c r="D73" s="85">
        <f>SUM(D69:D72)</f>
        <v>692663.67022668093</v>
      </c>
      <c r="E73" s="81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S73" s="85">
        <f t="shared" ref="S73:AD73" si="103">SUM(S69:S72)</f>
        <v>62720.274329143773</v>
      </c>
      <c r="T73" s="85">
        <f t="shared" si="103"/>
        <v>50007.630454591766</v>
      </c>
      <c r="U73" s="187">
        <f t="shared" si="103"/>
        <v>52978.825041685785</v>
      </c>
      <c r="V73" s="242">
        <f t="shared" si="103"/>
        <v>51794.799150088438</v>
      </c>
      <c r="W73" s="85">
        <f t="shared" si="103"/>
        <v>56785.327691908431</v>
      </c>
      <c r="X73" s="85">
        <f t="shared" si="103"/>
        <v>58312.143907048434</v>
      </c>
      <c r="Y73" s="85">
        <f t="shared" si="103"/>
        <v>61189.268247338434</v>
      </c>
      <c r="Z73" s="85">
        <f t="shared" si="103"/>
        <v>58656.399555338437</v>
      </c>
      <c r="AA73" s="85">
        <f t="shared" si="103"/>
        <v>58541.712744338438</v>
      </c>
      <c r="AB73" s="85">
        <f t="shared" si="103"/>
        <v>57147.939412219697</v>
      </c>
      <c r="AC73" s="85">
        <f t="shared" si="103"/>
        <v>55163.15138621971</v>
      </c>
      <c r="AD73" s="85">
        <f t="shared" si="103"/>
        <v>69366.198306759674</v>
      </c>
      <c r="AF73" s="83">
        <f t="shared" si="102"/>
        <v>692663.67022668093</v>
      </c>
      <c r="AG73" s="82" t="b">
        <f t="shared" si="100"/>
        <v>1</v>
      </c>
    </row>
    <row r="74" spans="1:35" x14ac:dyDescent="0.25">
      <c r="A74" s="44"/>
      <c r="B74" s="44"/>
      <c r="C74" s="68"/>
      <c r="D74" s="86"/>
      <c r="E74" s="81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S74" s="86"/>
      <c r="T74" s="86"/>
      <c r="U74" s="185"/>
      <c r="V74" s="244"/>
      <c r="W74" s="86"/>
      <c r="X74" s="86"/>
      <c r="Y74" s="86"/>
      <c r="Z74" s="86"/>
      <c r="AA74" s="86"/>
      <c r="AB74" s="86"/>
      <c r="AC74" s="86"/>
      <c r="AD74" s="86"/>
      <c r="AF74" s="83"/>
      <c r="AG74" s="82"/>
    </row>
    <row r="75" spans="1:35" s="286" customFormat="1" x14ac:dyDescent="0.25">
      <c r="A75" s="51"/>
      <c r="B75" s="51">
        <v>83</v>
      </c>
      <c r="C75" s="283" t="s">
        <v>247</v>
      </c>
      <c r="D75" s="284">
        <f>SUM(S75:AD75)</f>
        <v>62158.309323695983</v>
      </c>
      <c r="E75" s="81"/>
      <c r="F75" s="285">
        <f>S75/$D$75</f>
        <v>9.4260648096076843E-2</v>
      </c>
      <c r="G75" s="285">
        <f t="shared" ref="G75:Q75" si="104">T75/$D$75</f>
        <v>9.4260648096076843E-2</v>
      </c>
      <c r="H75" s="285">
        <f t="shared" si="104"/>
        <v>9.4260648096076843E-2</v>
      </c>
      <c r="I75" s="285">
        <f t="shared" si="104"/>
        <v>7.9690895079085527E-2</v>
      </c>
      <c r="J75" s="285">
        <f t="shared" si="104"/>
        <v>7.9690895079085527E-2</v>
      </c>
      <c r="K75" s="285">
        <f t="shared" si="104"/>
        <v>7.9690895079085527E-2</v>
      </c>
      <c r="L75" s="285">
        <f t="shared" si="104"/>
        <v>7.9690895079085527E-2</v>
      </c>
      <c r="M75" s="285">
        <f t="shared" si="104"/>
        <v>7.9690895079085527E-2</v>
      </c>
      <c r="N75" s="285">
        <f t="shared" si="104"/>
        <v>7.9690895079085527E-2</v>
      </c>
      <c r="O75" s="285">
        <f t="shared" si="104"/>
        <v>7.9690895079085527E-2</v>
      </c>
      <c r="P75" s="285">
        <f t="shared" si="104"/>
        <v>7.9690895079085527E-2</v>
      </c>
      <c r="Q75" s="285">
        <f t="shared" si="104"/>
        <v>7.9690895079085527E-2</v>
      </c>
      <c r="S75" s="288">
        <v>5859.0825214079996</v>
      </c>
      <c r="T75" s="288">
        <v>5859.0825214079996</v>
      </c>
      <c r="U75" s="288">
        <v>5859.0825214079996</v>
      </c>
      <c r="V75" s="288">
        <v>4953.4513066079999</v>
      </c>
      <c r="W75" s="288">
        <v>4953.4513066079999</v>
      </c>
      <c r="X75" s="288">
        <v>4953.4513066079999</v>
      </c>
      <c r="Y75" s="288">
        <v>4953.4513066079999</v>
      </c>
      <c r="Z75" s="288">
        <v>4953.4513066079999</v>
      </c>
      <c r="AA75" s="288">
        <v>4953.4513066079999</v>
      </c>
      <c r="AB75" s="288">
        <v>4953.4513066079999</v>
      </c>
      <c r="AC75" s="288">
        <v>4953.4513066079999</v>
      </c>
      <c r="AD75" s="288">
        <v>4953.4513066079999</v>
      </c>
      <c r="AF75" s="287"/>
      <c r="AG75" s="82"/>
      <c r="AI75"/>
    </row>
    <row r="76" spans="1:35" x14ac:dyDescent="0.25">
      <c r="A76" s="44"/>
      <c r="B76" s="44"/>
      <c r="C76" s="68"/>
      <c r="D76" s="86"/>
      <c r="E76" s="81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F76" s="83"/>
      <c r="AG76" s="82"/>
    </row>
    <row r="77" spans="1:35" x14ac:dyDescent="0.25">
      <c r="A77" s="44"/>
      <c r="B77" s="44"/>
      <c r="C77" s="68" t="s">
        <v>116</v>
      </c>
      <c r="D77" s="85">
        <f>SUM(D73,D66,D45,D18,D9,D75)</f>
        <v>754821.97955037688</v>
      </c>
      <c r="E77" s="81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S77" s="86"/>
      <c r="T77" s="86"/>
      <c r="U77" s="185"/>
      <c r="V77" s="244"/>
      <c r="W77" s="86"/>
      <c r="X77" s="86"/>
      <c r="Y77" s="86"/>
      <c r="Z77" s="86"/>
      <c r="AA77" s="86"/>
      <c r="AB77" s="86"/>
      <c r="AC77" s="86"/>
      <c r="AD77" s="86"/>
      <c r="AF77" s="83"/>
      <c r="AG77" s="82"/>
    </row>
    <row r="78" spans="1:35" x14ac:dyDescent="0.25">
      <c r="A78" s="44"/>
      <c r="B78" s="44"/>
      <c r="C78" s="224" t="s">
        <v>179</v>
      </c>
      <c r="D78" s="258">
        <f>Revenue_FY25B!D61-D77</f>
        <v>2962617.020449623</v>
      </c>
      <c r="E78" s="81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S78" s="86"/>
      <c r="T78" s="86"/>
      <c r="U78" s="185"/>
      <c r="V78" s="244"/>
      <c r="W78" s="86"/>
      <c r="X78" s="86"/>
      <c r="Y78" s="86"/>
      <c r="Z78" s="86"/>
      <c r="AA78" s="86"/>
      <c r="AB78" s="86"/>
      <c r="AC78" s="86"/>
      <c r="AD78" s="86"/>
      <c r="AF78" s="83"/>
      <c r="AG78" s="82"/>
    </row>
    <row r="79" spans="1:35" x14ac:dyDescent="0.25">
      <c r="C79" s="69"/>
      <c r="D79" s="80"/>
      <c r="E79" s="51"/>
      <c r="V79" s="77"/>
    </row>
    <row r="80" spans="1:35" x14ac:dyDescent="0.25">
      <c r="C80" s="69"/>
      <c r="D80" s="79"/>
      <c r="E80" s="51"/>
      <c r="S80" s="190"/>
      <c r="V80" s="77"/>
    </row>
    <row r="81" spans="2:27" x14ac:dyDescent="0.25">
      <c r="C81" s="69"/>
      <c r="D81" s="79"/>
      <c r="E81" s="51"/>
      <c r="S81" s="190"/>
      <c r="V81" s="77"/>
    </row>
    <row r="82" spans="2:27" x14ac:dyDescent="0.25">
      <c r="C82" s="69"/>
      <c r="D82" s="79"/>
      <c r="E82" s="51"/>
      <c r="S82" s="190"/>
      <c r="V82" s="77"/>
      <c r="AA82" s="301"/>
    </row>
    <row r="83" spans="2:27" x14ac:dyDescent="0.25">
      <c r="C83" s="69"/>
      <c r="D83" s="79"/>
      <c r="E83" s="51"/>
      <c r="S83" s="190"/>
      <c r="V83" s="77"/>
    </row>
    <row r="84" spans="2:27" x14ac:dyDescent="0.25">
      <c r="C84" s="69"/>
      <c r="D84" s="79"/>
      <c r="E84" s="51"/>
      <c r="S84" s="190"/>
      <c r="V84" s="77"/>
    </row>
    <row r="85" spans="2:27" x14ac:dyDescent="0.25">
      <c r="B85" s="292" t="s">
        <v>252</v>
      </c>
      <c r="C85" s="276"/>
      <c r="D85" s="79"/>
      <c r="E85" s="51"/>
      <c r="S85" s="190"/>
      <c r="V85" s="77"/>
    </row>
    <row r="86" spans="2:27" x14ac:dyDescent="0.25">
      <c r="B86" s="293">
        <v>1</v>
      </c>
      <c r="C86" s="276" t="s">
        <v>255</v>
      </c>
      <c r="D86" s="79"/>
      <c r="E86" s="51"/>
      <c r="S86" s="190"/>
      <c r="V86" s="77"/>
    </row>
    <row r="87" spans="2:27" x14ac:dyDescent="0.25">
      <c r="C87" s="69"/>
      <c r="D87" s="79"/>
      <c r="E87" s="51"/>
      <c r="S87" s="190"/>
      <c r="V87" s="77"/>
    </row>
    <row r="88" spans="2:27" x14ac:dyDescent="0.25">
      <c r="C88" s="69"/>
      <c r="D88" s="79"/>
      <c r="E88" s="51"/>
      <c r="S88" s="190"/>
      <c r="V88" s="77"/>
    </row>
    <row r="89" spans="2:27" x14ac:dyDescent="0.25">
      <c r="C89" s="69"/>
      <c r="D89" s="79"/>
      <c r="E89" s="51"/>
      <c r="S89" s="190"/>
      <c r="V89" s="77"/>
    </row>
    <row r="90" spans="2:27" x14ac:dyDescent="0.25">
      <c r="C90" s="69"/>
      <c r="D90" s="79"/>
      <c r="E90" s="51"/>
      <c r="S90" s="190"/>
      <c r="V90" s="77"/>
    </row>
    <row r="91" spans="2:27" x14ac:dyDescent="0.25">
      <c r="C91" s="69"/>
      <c r="D91" s="79"/>
      <c r="E91" s="51"/>
      <c r="S91" s="190"/>
      <c r="V91" s="77"/>
    </row>
    <row r="92" spans="2:27" x14ac:dyDescent="0.25">
      <c r="C92" s="69"/>
      <c r="D92" s="79"/>
      <c r="E92" s="51"/>
      <c r="S92" s="190"/>
      <c r="V92" s="77"/>
    </row>
    <row r="93" spans="2:27" x14ac:dyDescent="0.25">
      <c r="C93" s="69"/>
      <c r="D93" s="79"/>
      <c r="E93" s="51"/>
      <c r="S93" s="190"/>
      <c r="V93" s="77"/>
    </row>
    <row r="94" spans="2:27" x14ac:dyDescent="0.25">
      <c r="C94" s="69"/>
      <c r="D94" s="79"/>
      <c r="E94" s="51"/>
      <c r="S94" s="190"/>
      <c r="V94" s="77"/>
    </row>
    <row r="95" spans="2:27" x14ac:dyDescent="0.25">
      <c r="C95" s="69"/>
      <c r="D95" s="79"/>
      <c r="E95" s="51"/>
      <c r="S95" s="190"/>
      <c r="V95" s="77"/>
    </row>
    <row r="96" spans="2:27" x14ac:dyDescent="0.25">
      <c r="C96" s="69"/>
      <c r="D96" s="79"/>
      <c r="E96" s="51"/>
      <c r="S96" s="190"/>
      <c r="V96" s="77"/>
    </row>
    <row r="97" spans="3:22" x14ac:dyDescent="0.25">
      <c r="C97" s="69"/>
      <c r="D97" s="79"/>
      <c r="E97" s="51"/>
      <c r="S97" s="190"/>
      <c r="V97" s="77"/>
    </row>
    <row r="98" spans="3:22" x14ac:dyDescent="0.25">
      <c r="C98" s="69"/>
      <c r="D98" s="79"/>
      <c r="E98" s="51"/>
      <c r="S98" s="190"/>
      <c r="V98" s="77"/>
    </row>
    <row r="99" spans="3:22" x14ac:dyDescent="0.25">
      <c r="V99" s="77"/>
    </row>
    <row r="100" spans="3:22" x14ac:dyDescent="0.25">
      <c r="V100" s="77"/>
    </row>
    <row r="101" spans="3:22" x14ac:dyDescent="0.25">
      <c r="V101" s="77"/>
    </row>
    <row r="102" spans="3:22" x14ac:dyDescent="0.25">
      <c r="V102" s="77"/>
    </row>
    <row r="103" spans="3:22" x14ac:dyDescent="0.25">
      <c r="V103" s="77"/>
    </row>
    <row r="104" spans="3:22" x14ac:dyDescent="0.25">
      <c r="V104" s="77"/>
    </row>
    <row r="105" spans="3:22" x14ac:dyDescent="0.25">
      <c r="V105" s="77"/>
    </row>
    <row r="106" spans="3:22" x14ac:dyDescent="0.25">
      <c r="V106" s="77"/>
    </row>
    <row r="107" spans="3:22" x14ac:dyDescent="0.25">
      <c r="V107" s="77"/>
    </row>
    <row r="108" spans="3:22" x14ac:dyDescent="0.25">
      <c r="V108" s="77"/>
    </row>
    <row r="109" spans="3:22" x14ac:dyDescent="0.25">
      <c r="V109" s="77"/>
    </row>
    <row r="110" spans="3:22" x14ac:dyDescent="0.25">
      <c r="V110" s="77"/>
    </row>
    <row r="111" spans="3:22" x14ac:dyDescent="0.25">
      <c r="V111" s="77"/>
    </row>
    <row r="112" spans="3:22" x14ac:dyDescent="0.25">
      <c r="V112" s="77"/>
    </row>
    <row r="113" spans="22:22" x14ac:dyDescent="0.25">
      <c r="V113" s="77"/>
    </row>
    <row r="114" spans="22:22" x14ac:dyDescent="0.25">
      <c r="V114" s="77"/>
    </row>
    <row r="115" spans="22:22" x14ac:dyDescent="0.25">
      <c r="V115" s="77"/>
    </row>
    <row r="116" spans="22:22" x14ac:dyDescent="0.25">
      <c r="V116" s="77"/>
    </row>
    <row r="117" spans="22:22" x14ac:dyDescent="0.25">
      <c r="V117" s="77"/>
    </row>
    <row r="118" spans="22:22" x14ac:dyDescent="0.25">
      <c r="V118" s="77"/>
    </row>
    <row r="119" spans="22:22" x14ac:dyDescent="0.25">
      <c r="V119" s="77"/>
    </row>
    <row r="120" spans="22:22" x14ac:dyDescent="0.25">
      <c r="V120" s="77"/>
    </row>
    <row r="121" spans="22:22" x14ac:dyDescent="0.25">
      <c r="V121" s="77"/>
    </row>
    <row r="122" spans="22:22" x14ac:dyDescent="0.25">
      <c r="V122" s="77"/>
    </row>
    <row r="123" spans="22:22" x14ac:dyDescent="0.25">
      <c r="V123" s="77"/>
    </row>
    <row r="124" spans="22:22" x14ac:dyDescent="0.25">
      <c r="V124" s="77"/>
    </row>
    <row r="125" spans="22:22" x14ac:dyDescent="0.25">
      <c r="V125" s="77"/>
    </row>
    <row r="126" spans="22:22" x14ac:dyDescent="0.25">
      <c r="V126" s="77"/>
    </row>
    <row r="127" spans="22:22" x14ac:dyDescent="0.25">
      <c r="V127" s="77"/>
    </row>
    <row r="128" spans="22:22" x14ac:dyDescent="0.25">
      <c r="V128" s="77"/>
    </row>
    <row r="129" spans="22:22" x14ac:dyDescent="0.25">
      <c r="V129" s="77"/>
    </row>
    <row r="130" spans="22:22" x14ac:dyDescent="0.25">
      <c r="V130" s="77"/>
    </row>
    <row r="131" spans="22:22" x14ac:dyDescent="0.25">
      <c r="V131" s="77"/>
    </row>
    <row r="132" spans="22:22" x14ac:dyDescent="0.25">
      <c r="V132" s="77"/>
    </row>
    <row r="133" spans="22:22" x14ac:dyDescent="0.25">
      <c r="V133" s="77"/>
    </row>
    <row r="134" spans="22:22" x14ac:dyDescent="0.25">
      <c r="V134" s="77"/>
    </row>
    <row r="135" spans="22:22" x14ac:dyDescent="0.25">
      <c r="V135" s="77"/>
    </row>
    <row r="136" spans="22:22" x14ac:dyDescent="0.25">
      <c r="V136" s="77"/>
    </row>
    <row r="137" spans="22:22" x14ac:dyDescent="0.25">
      <c r="V137" s="77"/>
    </row>
    <row r="138" spans="22:22" x14ac:dyDescent="0.25">
      <c r="V138" s="77"/>
    </row>
    <row r="139" spans="22:22" x14ac:dyDescent="0.25">
      <c r="V139" s="77"/>
    </row>
    <row r="140" spans="22:22" x14ac:dyDescent="0.25">
      <c r="V140" s="77"/>
    </row>
    <row r="141" spans="22:22" x14ac:dyDescent="0.25">
      <c r="V141" s="77"/>
    </row>
    <row r="142" spans="22:22" x14ac:dyDescent="0.25">
      <c r="V142" s="77"/>
    </row>
    <row r="143" spans="22:22" x14ac:dyDescent="0.25">
      <c r="V143" s="77"/>
    </row>
    <row r="144" spans="22:22" x14ac:dyDescent="0.25">
      <c r="V144" s="77"/>
    </row>
    <row r="145" spans="22:22" x14ac:dyDescent="0.25">
      <c r="V145" s="77"/>
    </row>
    <row r="146" spans="22:22" x14ac:dyDescent="0.25">
      <c r="V146" s="77"/>
    </row>
    <row r="147" spans="22:22" x14ac:dyDescent="0.25">
      <c r="V147" s="77"/>
    </row>
    <row r="148" spans="22:22" x14ac:dyDescent="0.25">
      <c r="V148" s="77"/>
    </row>
    <row r="149" spans="22:22" x14ac:dyDescent="0.25">
      <c r="V149" s="77"/>
    </row>
    <row r="150" spans="22:22" x14ac:dyDescent="0.25">
      <c r="V150" s="77"/>
    </row>
    <row r="151" spans="22:22" x14ac:dyDescent="0.25">
      <c r="V151" s="77"/>
    </row>
    <row r="152" spans="22:22" x14ac:dyDescent="0.25">
      <c r="V152" s="77"/>
    </row>
    <row r="153" spans="22:22" x14ac:dyDescent="0.25">
      <c r="V153" s="77"/>
    </row>
    <row r="154" spans="22:22" x14ac:dyDescent="0.25">
      <c r="V154" s="77"/>
    </row>
    <row r="155" spans="22:22" x14ac:dyDescent="0.25">
      <c r="V155" s="77"/>
    </row>
    <row r="156" spans="22:22" x14ac:dyDescent="0.25">
      <c r="V156" s="77"/>
    </row>
    <row r="157" spans="22:22" x14ac:dyDescent="0.25">
      <c r="V157" s="77"/>
    </row>
    <row r="158" spans="22:22" x14ac:dyDescent="0.25">
      <c r="V158" s="77"/>
    </row>
    <row r="159" spans="22:22" x14ac:dyDescent="0.25">
      <c r="V159" s="77"/>
    </row>
    <row r="160" spans="22:22" x14ac:dyDescent="0.25">
      <c r="V160" s="77"/>
    </row>
    <row r="161" spans="22:22" x14ac:dyDescent="0.25">
      <c r="V161" s="77"/>
    </row>
    <row r="162" spans="22:22" x14ac:dyDescent="0.25">
      <c r="V162" s="77"/>
    </row>
    <row r="163" spans="22:22" x14ac:dyDescent="0.25">
      <c r="V163" s="77"/>
    </row>
    <row r="164" spans="22:22" x14ac:dyDescent="0.25">
      <c r="V164" s="77"/>
    </row>
    <row r="165" spans="22:22" x14ac:dyDescent="0.25">
      <c r="V165" s="77"/>
    </row>
    <row r="166" spans="22:22" x14ac:dyDescent="0.25">
      <c r="V166" s="77"/>
    </row>
    <row r="167" spans="22:22" x14ac:dyDescent="0.25">
      <c r="V167" s="77"/>
    </row>
    <row r="168" spans="22:22" x14ac:dyDescent="0.25">
      <c r="V168" s="77"/>
    </row>
    <row r="169" spans="22:22" x14ac:dyDescent="0.25">
      <c r="V169" s="77"/>
    </row>
    <row r="170" spans="22:22" x14ac:dyDescent="0.25">
      <c r="V170" s="77"/>
    </row>
    <row r="171" spans="22:22" x14ac:dyDescent="0.25">
      <c r="V171" s="77"/>
    </row>
    <row r="172" spans="22:22" x14ac:dyDescent="0.25">
      <c r="V172" s="77"/>
    </row>
    <row r="173" spans="22:22" x14ac:dyDescent="0.25">
      <c r="V173" s="77"/>
    </row>
    <row r="174" spans="22:22" x14ac:dyDescent="0.25">
      <c r="V174" s="77"/>
    </row>
    <row r="175" spans="22:22" x14ac:dyDescent="0.25">
      <c r="V175" s="77"/>
    </row>
    <row r="176" spans="22:22" x14ac:dyDescent="0.25">
      <c r="V176" s="77"/>
    </row>
    <row r="177" spans="22:22" x14ac:dyDescent="0.25">
      <c r="V177" s="77"/>
    </row>
    <row r="178" spans="22:22" x14ac:dyDescent="0.25">
      <c r="V178" s="77"/>
    </row>
    <row r="179" spans="22:22" x14ac:dyDescent="0.25">
      <c r="V179" s="77"/>
    </row>
    <row r="180" spans="22:22" x14ac:dyDescent="0.25">
      <c r="V180" s="77"/>
    </row>
    <row r="181" spans="22:22" x14ac:dyDescent="0.25">
      <c r="V181" s="77"/>
    </row>
    <row r="182" spans="22:22" x14ac:dyDescent="0.25">
      <c r="V182" s="77"/>
    </row>
    <row r="183" spans="22:22" x14ac:dyDescent="0.25">
      <c r="V183" s="77"/>
    </row>
    <row r="184" spans="22:22" x14ac:dyDescent="0.25">
      <c r="V184" s="77"/>
    </row>
    <row r="185" spans="22:22" x14ac:dyDescent="0.25">
      <c r="V185" s="77"/>
    </row>
    <row r="186" spans="22:22" x14ac:dyDescent="0.25">
      <c r="V186" s="77"/>
    </row>
    <row r="187" spans="22:22" x14ac:dyDescent="0.25">
      <c r="V187" s="77"/>
    </row>
    <row r="188" spans="22:22" x14ac:dyDescent="0.25">
      <c r="V188" s="77"/>
    </row>
    <row r="189" spans="22:22" x14ac:dyDescent="0.25">
      <c r="V189" s="77"/>
    </row>
    <row r="190" spans="22:22" x14ac:dyDescent="0.25">
      <c r="V190" s="77"/>
    </row>
    <row r="191" spans="22:22" x14ac:dyDescent="0.25">
      <c r="V191" s="77"/>
    </row>
    <row r="192" spans="22:22" x14ac:dyDescent="0.25">
      <c r="V192" s="77"/>
    </row>
    <row r="193" spans="22:22" x14ac:dyDescent="0.25">
      <c r="V193" s="77"/>
    </row>
    <row r="194" spans="22:22" x14ac:dyDescent="0.25">
      <c r="V194" s="77"/>
    </row>
    <row r="195" spans="22:22" x14ac:dyDescent="0.25">
      <c r="V195" s="77"/>
    </row>
    <row r="196" spans="22:22" x14ac:dyDescent="0.25">
      <c r="V196" s="77"/>
    </row>
    <row r="197" spans="22:22" x14ac:dyDescent="0.25">
      <c r="V197" s="77"/>
    </row>
    <row r="198" spans="22:22" x14ac:dyDescent="0.25">
      <c r="V198" s="77"/>
    </row>
    <row r="199" spans="22:22" x14ac:dyDescent="0.25">
      <c r="V199" s="77"/>
    </row>
    <row r="200" spans="22:22" x14ac:dyDescent="0.25">
      <c r="V200" s="77"/>
    </row>
    <row r="201" spans="22:22" x14ac:dyDescent="0.25">
      <c r="V201" s="77"/>
    </row>
    <row r="202" spans="22:22" x14ac:dyDescent="0.25">
      <c r="V202" s="77"/>
    </row>
    <row r="203" spans="22:22" x14ac:dyDescent="0.25">
      <c r="V203" s="77"/>
    </row>
    <row r="204" spans="22:22" x14ac:dyDescent="0.25">
      <c r="V204" s="77"/>
    </row>
    <row r="205" spans="22:22" x14ac:dyDescent="0.25">
      <c r="V205" s="77"/>
    </row>
    <row r="206" spans="22:22" x14ac:dyDescent="0.25">
      <c r="V206" s="77"/>
    </row>
    <row r="207" spans="22:22" x14ac:dyDescent="0.25">
      <c r="V207" s="77"/>
    </row>
    <row r="208" spans="22:22" x14ac:dyDescent="0.25">
      <c r="V208" s="77"/>
    </row>
    <row r="209" spans="22:22" x14ac:dyDescent="0.25">
      <c r="V209" s="77"/>
    </row>
    <row r="210" spans="22:22" x14ac:dyDescent="0.25">
      <c r="V210" s="77"/>
    </row>
    <row r="211" spans="22:22" x14ac:dyDescent="0.25">
      <c r="V211" s="77"/>
    </row>
    <row r="212" spans="22:22" x14ac:dyDescent="0.25">
      <c r="V212" s="77"/>
    </row>
    <row r="213" spans="22:22" x14ac:dyDescent="0.25">
      <c r="V213" s="77"/>
    </row>
    <row r="214" spans="22:22" x14ac:dyDescent="0.25">
      <c r="V214" s="77"/>
    </row>
    <row r="215" spans="22:22" x14ac:dyDescent="0.25">
      <c r="V215" s="77"/>
    </row>
    <row r="216" spans="22:22" x14ac:dyDescent="0.25">
      <c r="V216" s="77"/>
    </row>
    <row r="217" spans="22:22" x14ac:dyDescent="0.25">
      <c r="V217" s="77"/>
    </row>
    <row r="218" spans="22:22" x14ac:dyDescent="0.25">
      <c r="V218" s="77"/>
    </row>
    <row r="219" spans="22:22" x14ac:dyDescent="0.25">
      <c r="V219" s="77"/>
    </row>
    <row r="220" spans="22:22" x14ac:dyDescent="0.25">
      <c r="V220" s="77"/>
    </row>
    <row r="221" spans="22:22" x14ac:dyDescent="0.25">
      <c r="V221" s="77"/>
    </row>
    <row r="222" spans="22:22" x14ac:dyDescent="0.25">
      <c r="V222" s="77"/>
    </row>
    <row r="223" spans="22:22" x14ac:dyDescent="0.25">
      <c r="V223" s="77"/>
    </row>
    <row r="224" spans="22:22" x14ac:dyDescent="0.25">
      <c r="V224" s="77"/>
    </row>
    <row r="225" spans="22:22" x14ac:dyDescent="0.25">
      <c r="V225" s="77"/>
    </row>
    <row r="226" spans="22:22" x14ac:dyDescent="0.25">
      <c r="V226" s="77"/>
    </row>
    <row r="227" spans="22:22" x14ac:dyDescent="0.25">
      <c r="V227" s="77"/>
    </row>
    <row r="228" spans="22:22" x14ac:dyDescent="0.25">
      <c r="V228" s="77"/>
    </row>
    <row r="229" spans="22:22" x14ac:dyDescent="0.25">
      <c r="V229" s="77"/>
    </row>
    <row r="230" spans="22:22" x14ac:dyDescent="0.25">
      <c r="V230" s="77"/>
    </row>
    <row r="231" spans="22:22" x14ac:dyDescent="0.25">
      <c r="V231" s="77"/>
    </row>
    <row r="232" spans="22:22" x14ac:dyDescent="0.25">
      <c r="V232" s="77"/>
    </row>
    <row r="233" spans="22:22" x14ac:dyDescent="0.25">
      <c r="V233" s="77"/>
    </row>
    <row r="234" spans="22:22" x14ac:dyDescent="0.25">
      <c r="V234" s="77"/>
    </row>
    <row r="235" spans="22:22" x14ac:dyDescent="0.25">
      <c r="V235" s="77"/>
    </row>
    <row r="236" spans="22:22" x14ac:dyDescent="0.25">
      <c r="V236" s="77"/>
    </row>
    <row r="237" spans="22:22" x14ac:dyDescent="0.25">
      <c r="V237" s="77"/>
    </row>
    <row r="238" spans="22:22" x14ac:dyDescent="0.25">
      <c r="V238" s="77"/>
    </row>
    <row r="239" spans="22:22" x14ac:dyDescent="0.25">
      <c r="V239" s="77"/>
    </row>
    <row r="240" spans="22:22" x14ac:dyDescent="0.25">
      <c r="V240" s="77"/>
    </row>
    <row r="241" spans="22:22" x14ac:dyDescent="0.25">
      <c r="V241" s="77"/>
    </row>
    <row r="242" spans="22:22" x14ac:dyDescent="0.25">
      <c r="V242" s="77"/>
    </row>
    <row r="243" spans="22:22" x14ac:dyDescent="0.25">
      <c r="V243" s="77"/>
    </row>
    <row r="244" spans="22:22" x14ac:dyDescent="0.25">
      <c r="V244" s="77"/>
    </row>
    <row r="245" spans="22:22" x14ac:dyDescent="0.25">
      <c r="V245" s="77"/>
    </row>
    <row r="246" spans="22:22" x14ac:dyDescent="0.25">
      <c r="V246" s="77"/>
    </row>
    <row r="247" spans="22:22" x14ac:dyDescent="0.25">
      <c r="V247" s="77"/>
    </row>
    <row r="248" spans="22:22" x14ac:dyDescent="0.25">
      <c r="V248" s="77"/>
    </row>
    <row r="249" spans="22:22" x14ac:dyDescent="0.25">
      <c r="V249" s="77"/>
    </row>
    <row r="250" spans="22:22" x14ac:dyDescent="0.25">
      <c r="V250" s="77"/>
    </row>
    <row r="251" spans="22:22" x14ac:dyDescent="0.25">
      <c r="V251" s="77"/>
    </row>
    <row r="252" spans="22:22" x14ac:dyDescent="0.25">
      <c r="V252" s="77"/>
    </row>
    <row r="253" spans="22:22" x14ac:dyDescent="0.25">
      <c r="V253" s="77"/>
    </row>
    <row r="254" spans="22:22" x14ac:dyDescent="0.25">
      <c r="V254" s="77"/>
    </row>
    <row r="255" spans="22:22" x14ac:dyDescent="0.25">
      <c r="V255" s="77"/>
    </row>
    <row r="256" spans="22:22" x14ac:dyDescent="0.25">
      <c r="V256" s="77"/>
    </row>
    <row r="257" spans="22:22" x14ac:dyDescent="0.25">
      <c r="V257" s="77"/>
    </row>
    <row r="258" spans="22:22" x14ac:dyDescent="0.25">
      <c r="V258" s="77"/>
    </row>
    <row r="259" spans="22:22" x14ac:dyDescent="0.25">
      <c r="V259" s="77"/>
    </row>
    <row r="260" spans="22:22" x14ac:dyDescent="0.25">
      <c r="V260" s="77"/>
    </row>
    <row r="261" spans="22:22" x14ac:dyDescent="0.25">
      <c r="V261" s="77"/>
    </row>
    <row r="262" spans="22:22" x14ac:dyDescent="0.25">
      <c r="V262" s="77"/>
    </row>
    <row r="263" spans="22:22" x14ac:dyDescent="0.25">
      <c r="V263" s="77"/>
    </row>
    <row r="264" spans="22:22" x14ac:dyDescent="0.25">
      <c r="V264" s="77"/>
    </row>
    <row r="265" spans="22:22" x14ac:dyDescent="0.25">
      <c r="V265" s="77"/>
    </row>
    <row r="266" spans="22:22" x14ac:dyDescent="0.25">
      <c r="V266" s="77"/>
    </row>
    <row r="267" spans="22:22" x14ac:dyDescent="0.25">
      <c r="V267" s="77"/>
    </row>
    <row r="268" spans="22:22" x14ac:dyDescent="0.25">
      <c r="V268" s="77"/>
    </row>
    <row r="269" spans="22:22" x14ac:dyDescent="0.25">
      <c r="V269" s="77"/>
    </row>
    <row r="270" spans="22:22" x14ac:dyDescent="0.25">
      <c r="V270" s="77"/>
    </row>
    <row r="271" spans="22:22" x14ac:dyDescent="0.25">
      <c r="V271" s="77"/>
    </row>
    <row r="272" spans="22:22" x14ac:dyDescent="0.25">
      <c r="V272" s="77"/>
    </row>
    <row r="273" spans="22:22" x14ac:dyDescent="0.25">
      <c r="V273" s="77"/>
    </row>
    <row r="274" spans="22:22" x14ac:dyDescent="0.25">
      <c r="V274" s="77"/>
    </row>
    <row r="275" spans="22:22" x14ac:dyDescent="0.25">
      <c r="V275" s="77"/>
    </row>
    <row r="276" spans="22:22" x14ac:dyDescent="0.25">
      <c r="V276" s="77"/>
    </row>
    <row r="277" spans="22:22" x14ac:dyDescent="0.25">
      <c r="V277" s="77"/>
    </row>
    <row r="278" spans="22:22" x14ac:dyDescent="0.25">
      <c r="V278" s="77"/>
    </row>
    <row r="279" spans="22:22" x14ac:dyDescent="0.25">
      <c r="V279" s="77"/>
    </row>
    <row r="280" spans="22:22" x14ac:dyDescent="0.25">
      <c r="V280" s="77"/>
    </row>
    <row r="281" spans="22:22" x14ac:dyDescent="0.25">
      <c r="V281" s="77"/>
    </row>
    <row r="282" spans="22:22" x14ac:dyDescent="0.25">
      <c r="V282" s="77"/>
    </row>
    <row r="283" spans="22:22" x14ac:dyDescent="0.25">
      <c r="V283" s="77"/>
    </row>
    <row r="284" spans="22:22" x14ac:dyDescent="0.25">
      <c r="V284" s="77"/>
    </row>
    <row r="285" spans="22:22" x14ac:dyDescent="0.25">
      <c r="V285" s="77"/>
    </row>
    <row r="286" spans="22:22" x14ac:dyDescent="0.25">
      <c r="V286" s="77"/>
    </row>
    <row r="287" spans="22:22" x14ac:dyDescent="0.25">
      <c r="V287" s="77"/>
    </row>
    <row r="288" spans="22:22" x14ac:dyDescent="0.25">
      <c r="V288" s="77"/>
    </row>
    <row r="289" spans="22:22" x14ac:dyDescent="0.25">
      <c r="V289" s="77"/>
    </row>
    <row r="290" spans="22:22" x14ac:dyDescent="0.25">
      <c r="V290" s="77"/>
    </row>
    <row r="291" spans="22:22" x14ac:dyDescent="0.25">
      <c r="V291" s="77"/>
    </row>
    <row r="292" spans="22:22" x14ac:dyDescent="0.25">
      <c r="V292" s="77"/>
    </row>
    <row r="293" spans="22:22" x14ac:dyDescent="0.25">
      <c r="V293" s="77"/>
    </row>
    <row r="294" spans="22:22" x14ac:dyDescent="0.25">
      <c r="V294" s="77"/>
    </row>
    <row r="295" spans="22:22" x14ac:dyDescent="0.25">
      <c r="V295" s="77"/>
    </row>
    <row r="296" spans="22:22" x14ac:dyDescent="0.25">
      <c r="V296" s="77"/>
    </row>
    <row r="297" spans="22:22" x14ac:dyDescent="0.25">
      <c r="V297" s="77"/>
    </row>
    <row r="298" spans="22:22" x14ac:dyDescent="0.25">
      <c r="V298" s="77"/>
    </row>
    <row r="299" spans="22:22" x14ac:dyDescent="0.25">
      <c r="V299" s="77"/>
    </row>
    <row r="300" spans="22:22" x14ac:dyDescent="0.25">
      <c r="V300" s="77"/>
    </row>
    <row r="301" spans="22:22" x14ac:dyDescent="0.25">
      <c r="V301" s="77"/>
    </row>
    <row r="302" spans="22:22" x14ac:dyDescent="0.25">
      <c r="V302" s="77"/>
    </row>
    <row r="303" spans="22:22" x14ac:dyDescent="0.25">
      <c r="V303" s="77"/>
    </row>
    <row r="304" spans="22:22" x14ac:dyDescent="0.25">
      <c r="V304" s="77"/>
    </row>
    <row r="305" spans="22:22" x14ac:dyDescent="0.25">
      <c r="V305" s="77"/>
    </row>
    <row r="306" spans="22:22" x14ac:dyDescent="0.25">
      <c r="V306" s="77"/>
    </row>
    <row r="307" spans="22:22" x14ac:dyDescent="0.25">
      <c r="V307" s="77"/>
    </row>
    <row r="308" spans="22:22" x14ac:dyDescent="0.25">
      <c r="V308" s="77"/>
    </row>
    <row r="309" spans="22:22" x14ac:dyDescent="0.25">
      <c r="V309" s="77"/>
    </row>
    <row r="310" spans="22:22" x14ac:dyDescent="0.25">
      <c r="V310" s="77"/>
    </row>
    <row r="311" spans="22:22" x14ac:dyDescent="0.25">
      <c r="V311" s="77"/>
    </row>
    <row r="312" spans="22:22" x14ac:dyDescent="0.25">
      <c r="V312" s="77"/>
    </row>
    <row r="313" spans="22:22" x14ac:dyDescent="0.25">
      <c r="V313" s="77"/>
    </row>
    <row r="314" spans="22:22" x14ac:dyDescent="0.25">
      <c r="V314" s="77"/>
    </row>
    <row r="315" spans="22:22" x14ac:dyDescent="0.25">
      <c r="V315" s="77"/>
    </row>
    <row r="316" spans="22:22" x14ac:dyDescent="0.25">
      <c r="V316" s="77"/>
    </row>
    <row r="317" spans="22:22" x14ac:dyDescent="0.25">
      <c r="V317" s="77"/>
    </row>
    <row r="318" spans="22:22" x14ac:dyDescent="0.25">
      <c r="V318" s="77"/>
    </row>
    <row r="319" spans="22:22" x14ac:dyDescent="0.25">
      <c r="V319" s="77"/>
    </row>
    <row r="320" spans="22:22" x14ac:dyDescent="0.25">
      <c r="V320" s="77"/>
    </row>
    <row r="321" spans="22:22" x14ac:dyDescent="0.25">
      <c r="V321" s="77"/>
    </row>
    <row r="322" spans="22:22" x14ac:dyDescent="0.25">
      <c r="V322" s="77"/>
    </row>
    <row r="323" spans="22:22" x14ac:dyDescent="0.25">
      <c r="V323" s="77"/>
    </row>
    <row r="324" spans="22:22" x14ac:dyDescent="0.25">
      <c r="V324" s="77"/>
    </row>
    <row r="325" spans="22:22" x14ac:dyDescent="0.25">
      <c r="V325" s="77"/>
    </row>
    <row r="326" spans="22:22" x14ac:dyDescent="0.25">
      <c r="V326" s="77"/>
    </row>
    <row r="327" spans="22:22" x14ac:dyDescent="0.25">
      <c r="V327" s="77"/>
    </row>
    <row r="328" spans="22:22" x14ac:dyDescent="0.25">
      <c r="V328" s="77"/>
    </row>
    <row r="329" spans="22:22" x14ac:dyDescent="0.25">
      <c r="V329" s="77"/>
    </row>
    <row r="330" spans="22:22" x14ac:dyDescent="0.25">
      <c r="V330" s="77"/>
    </row>
    <row r="331" spans="22:22" x14ac:dyDescent="0.25">
      <c r="V331" s="77"/>
    </row>
    <row r="332" spans="22:22" x14ac:dyDescent="0.25">
      <c r="V332" s="77"/>
    </row>
    <row r="333" spans="22:22" x14ac:dyDescent="0.25">
      <c r="V333" s="77"/>
    </row>
    <row r="334" spans="22:22" x14ac:dyDescent="0.25">
      <c r="V334" s="77"/>
    </row>
    <row r="335" spans="22:22" x14ac:dyDescent="0.25">
      <c r="V335" s="77"/>
    </row>
    <row r="336" spans="22:22" x14ac:dyDescent="0.25">
      <c r="V336" s="77"/>
    </row>
    <row r="337" spans="22:22" x14ac:dyDescent="0.25">
      <c r="V337" s="77"/>
    </row>
    <row r="338" spans="22:22" x14ac:dyDescent="0.25">
      <c r="V338" s="77"/>
    </row>
    <row r="339" spans="22:22" x14ac:dyDescent="0.25">
      <c r="V339" s="77"/>
    </row>
    <row r="340" spans="22:22" x14ac:dyDescent="0.25">
      <c r="V340" s="77"/>
    </row>
    <row r="341" spans="22:22" x14ac:dyDescent="0.25">
      <c r="V341" s="77"/>
    </row>
    <row r="342" spans="22:22" x14ac:dyDescent="0.25">
      <c r="V342" s="77"/>
    </row>
    <row r="343" spans="22:22" x14ac:dyDescent="0.25">
      <c r="V343" s="77"/>
    </row>
    <row r="344" spans="22:22" x14ac:dyDescent="0.25">
      <c r="V344" s="77"/>
    </row>
    <row r="345" spans="22:22" x14ac:dyDescent="0.25">
      <c r="V345" s="77"/>
    </row>
    <row r="346" spans="22:22" x14ac:dyDescent="0.25">
      <c r="V346" s="77"/>
    </row>
    <row r="347" spans="22:22" x14ac:dyDescent="0.25">
      <c r="V347" s="77"/>
    </row>
    <row r="348" spans="22:22" x14ac:dyDescent="0.25">
      <c r="V348" s="77"/>
    </row>
    <row r="349" spans="22:22" x14ac:dyDescent="0.25">
      <c r="V349" s="77"/>
    </row>
    <row r="350" spans="22:22" x14ac:dyDescent="0.25">
      <c r="V350" s="77"/>
    </row>
    <row r="351" spans="22:22" x14ac:dyDescent="0.25">
      <c r="V351" s="77"/>
    </row>
    <row r="352" spans="22:22" x14ac:dyDescent="0.25">
      <c r="V352" s="77"/>
    </row>
    <row r="353" spans="22:22" x14ac:dyDescent="0.25">
      <c r="V353" s="77"/>
    </row>
    <row r="354" spans="22:22" x14ac:dyDescent="0.25">
      <c r="V354" s="77"/>
    </row>
    <row r="355" spans="22:22" x14ac:dyDescent="0.25">
      <c r="V355" s="77"/>
    </row>
    <row r="356" spans="22:22" x14ac:dyDescent="0.25">
      <c r="V356" s="77"/>
    </row>
    <row r="357" spans="22:22" x14ac:dyDescent="0.25">
      <c r="V357" s="77"/>
    </row>
    <row r="358" spans="22:22" x14ac:dyDescent="0.25">
      <c r="V358" s="77"/>
    </row>
    <row r="359" spans="22:22" x14ac:dyDescent="0.25">
      <c r="V359" s="77"/>
    </row>
    <row r="360" spans="22:22" x14ac:dyDescent="0.25">
      <c r="V360" s="77"/>
    </row>
    <row r="361" spans="22:22" x14ac:dyDescent="0.25">
      <c r="V361" s="77"/>
    </row>
    <row r="362" spans="22:22" x14ac:dyDescent="0.25">
      <c r="V362" s="77"/>
    </row>
    <row r="363" spans="22:22" x14ac:dyDescent="0.25">
      <c r="V363" s="77"/>
    </row>
    <row r="364" spans="22:22" x14ac:dyDescent="0.25">
      <c r="V364" s="77"/>
    </row>
    <row r="365" spans="22:22" x14ac:dyDescent="0.25">
      <c r="V365" s="77"/>
    </row>
    <row r="366" spans="22:22" x14ac:dyDescent="0.25">
      <c r="V366" s="77"/>
    </row>
    <row r="367" spans="22:22" x14ac:dyDescent="0.25">
      <c r="V367" s="77"/>
    </row>
    <row r="368" spans="22:22" x14ac:dyDescent="0.25">
      <c r="V368" s="77"/>
    </row>
    <row r="369" spans="22:22" x14ac:dyDescent="0.25">
      <c r="V369" s="77"/>
    </row>
    <row r="370" spans="22:22" x14ac:dyDescent="0.25">
      <c r="V370" s="77"/>
    </row>
    <row r="371" spans="22:22" x14ac:dyDescent="0.25">
      <c r="V371" s="77"/>
    </row>
    <row r="372" spans="22:22" x14ac:dyDescent="0.25">
      <c r="V372" s="77"/>
    </row>
    <row r="373" spans="22:22" x14ac:dyDescent="0.25">
      <c r="V373" s="77"/>
    </row>
    <row r="374" spans="22:22" x14ac:dyDescent="0.25">
      <c r="V374" s="77"/>
    </row>
    <row r="375" spans="22:22" x14ac:dyDescent="0.25">
      <c r="V375" s="77"/>
    </row>
    <row r="376" spans="22:22" x14ac:dyDescent="0.25">
      <c r="V376" s="77"/>
    </row>
    <row r="377" spans="22:22" x14ac:dyDescent="0.25">
      <c r="V377" s="77"/>
    </row>
    <row r="378" spans="22:22" x14ac:dyDescent="0.25">
      <c r="V378" s="77"/>
    </row>
    <row r="379" spans="22:22" x14ac:dyDescent="0.25">
      <c r="V379" s="77"/>
    </row>
    <row r="380" spans="22:22" x14ac:dyDescent="0.25">
      <c r="V380" s="77"/>
    </row>
    <row r="381" spans="22:22" x14ac:dyDescent="0.25">
      <c r="V381" s="77"/>
    </row>
    <row r="382" spans="22:22" x14ac:dyDescent="0.25">
      <c r="V382" s="77"/>
    </row>
    <row r="383" spans="22:22" x14ac:dyDescent="0.25">
      <c r="V383" s="77"/>
    </row>
    <row r="384" spans="22:22" x14ac:dyDescent="0.25">
      <c r="V384" s="77"/>
    </row>
    <row r="385" spans="22:22" x14ac:dyDescent="0.25">
      <c r="V385" s="77"/>
    </row>
    <row r="386" spans="22:22" x14ac:dyDescent="0.25">
      <c r="V386" s="77"/>
    </row>
    <row r="387" spans="22:22" x14ac:dyDescent="0.25">
      <c r="V387" s="77"/>
    </row>
    <row r="388" spans="22:22" x14ac:dyDescent="0.25">
      <c r="V388" s="77"/>
    </row>
    <row r="389" spans="22:22" x14ac:dyDescent="0.25">
      <c r="V389" s="77"/>
    </row>
    <row r="390" spans="22:22" x14ac:dyDescent="0.25">
      <c r="V390" s="77"/>
    </row>
    <row r="391" spans="22:22" x14ac:dyDescent="0.25">
      <c r="V391" s="77"/>
    </row>
    <row r="392" spans="22:22" x14ac:dyDescent="0.25">
      <c r="V392" s="77"/>
    </row>
    <row r="393" spans="22:22" x14ac:dyDescent="0.25">
      <c r="V393" s="77"/>
    </row>
    <row r="394" spans="22:22" x14ac:dyDescent="0.25">
      <c r="V394" s="77"/>
    </row>
    <row r="395" spans="22:22" x14ac:dyDescent="0.25">
      <c r="V395" s="77"/>
    </row>
    <row r="396" spans="22:22" x14ac:dyDescent="0.25">
      <c r="V396" s="77"/>
    </row>
    <row r="397" spans="22:22" x14ac:dyDescent="0.25">
      <c r="V397" s="77"/>
    </row>
    <row r="398" spans="22:22" x14ac:dyDescent="0.25">
      <c r="V398" s="77"/>
    </row>
    <row r="399" spans="22:22" x14ac:dyDescent="0.25">
      <c r="V399" s="77"/>
    </row>
    <row r="400" spans="22:22" x14ac:dyDescent="0.25">
      <c r="V400" s="77"/>
    </row>
    <row r="401" spans="22:22" x14ac:dyDescent="0.25">
      <c r="V401" s="77"/>
    </row>
    <row r="402" spans="22:22" x14ac:dyDescent="0.25">
      <c r="V402" s="77"/>
    </row>
    <row r="403" spans="22:22" x14ac:dyDescent="0.25">
      <c r="V403" s="77"/>
    </row>
    <row r="404" spans="22:22" x14ac:dyDescent="0.25">
      <c r="V404" s="77"/>
    </row>
    <row r="405" spans="22:22" x14ac:dyDescent="0.25">
      <c r="V405" s="77"/>
    </row>
    <row r="406" spans="22:22" x14ac:dyDescent="0.25">
      <c r="V406" s="77"/>
    </row>
    <row r="407" spans="22:22" x14ac:dyDescent="0.25">
      <c r="V407" s="77"/>
    </row>
    <row r="408" spans="22:22" x14ac:dyDescent="0.25">
      <c r="V408" s="77"/>
    </row>
    <row r="409" spans="22:22" x14ac:dyDescent="0.25">
      <c r="V409" s="77"/>
    </row>
    <row r="410" spans="22:22" x14ac:dyDescent="0.25">
      <c r="V410" s="77"/>
    </row>
    <row r="411" spans="22:22" x14ac:dyDescent="0.25">
      <c r="V411" s="77"/>
    </row>
    <row r="412" spans="22:22" x14ac:dyDescent="0.25">
      <c r="V412" s="77"/>
    </row>
    <row r="413" spans="22:22" x14ac:dyDescent="0.25">
      <c r="V413" s="77"/>
    </row>
    <row r="414" spans="22:22" x14ac:dyDescent="0.25">
      <c r="V414" s="77"/>
    </row>
    <row r="415" spans="22:22" x14ac:dyDescent="0.25">
      <c r="V415" s="77"/>
    </row>
    <row r="416" spans="22:22" x14ac:dyDescent="0.25">
      <c r="V416" s="77"/>
    </row>
    <row r="417" spans="22:22" x14ac:dyDescent="0.25">
      <c r="V417" s="77"/>
    </row>
    <row r="418" spans="22:22" x14ac:dyDescent="0.25">
      <c r="V418" s="77"/>
    </row>
    <row r="419" spans="22:22" x14ac:dyDescent="0.25">
      <c r="V419" s="77"/>
    </row>
    <row r="420" spans="22:22" x14ac:dyDescent="0.25">
      <c r="V420" s="77"/>
    </row>
    <row r="421" spans="22:22" x14ac:dyDescent="0.25">
      <c r="V421" s="77"/>
    </row>
    <row r="422" spans="22:22" x14ac:dyDescent="0.25">
      <c r="V422" s="77"/>
    </row>
    <row r="423" spans="22:22" x14ac:dyDescent="0.25">
      <c r="V423" s="77"/>
    </row>
    <row r="424" spans="22:22" x14ac:dyDescent="0.25">
      <c r="V424" s="77"/>
    </row>
    <row r="425" spans="22:22" x14ac:dyDescent="0.25">
      <c r="V425" s="77"/>
    </row>
    <row r="426" spans="22:22" x14ac:dyDescent="0.25">
      <c r="V426" s="77"/>
    </row>
    <row r="427" spans="22:22" x14ac:dyDescent="0.25">
      <c r="V427" s="77"/>
    </row>
    <row r="428" spans="22:22" x14ac:dyDescent="0.25">
      <c r="V428" s="77"/>
    </row>
    <row r="429" spans="22:22" x14ac:dyDescent="0.25">
      <c r="V429" s="77"/>
    </row>
    <row r="430" spans="22:22" x14ac:dyDescent="0.25">
      <c r="V430" s="77"/>
    </row>
    <row r="431" spans="22:22" x14ac:dyDescent="0.25">
      <c r="V431" s="77"/>
    </row>
    <row r="432" spans="22:22" x14ac:dyDescent="0.25">
      <c r="V432" s="77"/>
    </row>
    <row r="433" spans="22:22" x14ac:dyDescent="0.25">
      <c r="V433" s="77"/>
    </row>
    <row r="434" spans="22:22" x14ac:dyDescent="0.25">
      <c r="V434" s="77"/>
    </row>
    <row r="435" spans="22:22" x14ac:dyDescent="0.25">
      <c r="V435" s="77"/>
    </row>
    <row r="436" spans="22:22" x14ac:dyDescent="0.25">
      <c r="V436" s="77"/>
    </row>
    <row r="437" spans="22:22" x14ac:dyDescent="0.25">
      <c r="V437" s="77"/>
    </row>
    <row r="438" spans="22:22" x14ac:dyDescent="0.25">
      <c r="V438" s="77"/>
    </row>
    <row r="439" spans="22:22" x14ac:dyDescent="0.25">
      <c r="V439" s="77"/>
    </row>
    <row r="440" spans="22:22" x14ac:dyDescent="0.25">
      <c r="V440" s="77"/>
    </row>
    <row r="441" spans="22:22" x14ac:dyDescent="0.25">
      <c r="V441" s="77"/>
    </row>
    <row r="442" spans="22:22" x14ac:dyDescent="0.25">
      <c r="V442" s="77"/>
    </row>
    <row r="443" spans="22:22" x14ac:dyDescent="0.25">
      <c r="V443" s="77"/>
    </row>
    <row r="444" spans="22:22" x14ac:dyDescent="0.25">
      <c r="V444" s="77"/>
    </row>
    <row r="445" spans="22:22" x14ac:dyDescent="0.25">
      <c r="V445" s="77"/>
    </row>
    <row r="446" spans="22:22" x14ac:dyDescent="0.25">
      <c r="V446" s="77"/>
    </row>
    <row r="447" spans="22:22" x14ac:dyDescent="0.25">
      <c r="V447" s="77"/>
    </row>
    <row r="448" spans="22:22" x14ac:dyDescent="0.25">
      <c r="V448" s="77"/>
    </row>
    <row r="449" spans="22:22" x14ac:dyDescent="0.25">
      <c r="V449" s="77"/>
    </row>
    <row r="450" spans="22:22" x14ac:dyDescent="0.25">
      <c r="V450" s="77"/>
    </row>
    <row r="451" spans="22:22" x14ac:dyDescent="0.25">
      <c r="V451" s="77"/>
    </row>
    <row r="452" spans="22:22" x14ac:dyDescent="0.25">
      <c r="V452" s="77"/>
    </row>
    <row r="453" spans="22:22" x14ac:dyDescent="0.25">
      <c r="V453" s="77"/>
    </row>
    <row r="454" spans="22:22" x14ac:dyDescent="0.25">
      <c r="V454" s="77"/>
    </row>
    <row r="455" spans="22:22" x14ac:dyDescent="0.25">
      <c r="V455" s="77"/>
    </row>
    <row r="456" spans="22:22" x14ac:dyDescent="0.25">
      <c r="V456" s="77"/>
    </row>
    <row r="457" spans="22:22" x14ac:dyDescent="0.25">
      <c r="V457" s="77"/>
    </row>
    <row r="458" spans="22:22" x14ac:dyDescent="0.25">
      <c r="V458" s="77"/>
    </row>
    <row r="459" spans="22:22" x14ac:dyDescent="0.25">
      <c r="V459" s="77"/>
    </row>
    <row r="460" spans="22:22" x14ac:dyDescent="0.25">
      <c r="V460" s="77"/>
    </row>
    <row r="461" spans="22:22" x14ac:dyDescent="0.25">
      <c r="V461" s="77"/>
    </row>
    <row r="462" spans="22:22" x14ac:dyDescent="0.25">
      <c r="V462" s="77"/>
    </row>
    <row r="463" spans="22:22" x14ac:dyDescent="0.25">
      <c r="V463" s="77"/>
    </row>
    <row r="464" spans="22:22" x14ac:dyDescent="0.25">
      <c r="V464" s="77"/>
    </row>
    <row r="465" spans="22:22" x14ac:dyDescent="0.25">
      <c r="V465" s="77"/>
    </row>
    <row r="466" spans="22:22" x14ac:dyDescent="0.25">
      <c r="V466" s="77"/>
    </row>
    <row r="467" spans="22:22" x14ac:dyDescent="0.25">
      <c r="V467" s="77"/>
    </row>
    <row r="468" spans="22:22" x14ac:dyDescent="0.25">
      <c r="V468" s="77"/>
    </row>
    <row r="469" spans="22:22" x14ac:dyDescent="0.25">
      <c r="V469" s="77"/>
    </row>
    <row r="470" spans="22:22" x14ac:dyDescent="0.25">
      <c r="V470" s="77"/>
    </row>
    <row r="471" spans="22:22" x14ac:dyDescent="0.25">
      <c r="V471" s="77"/>
    </row>
    <row r="472" spans="22:22" x14ac:dyDescent="0.25">
      <c r="V472" s="77"/>
    </row>
    <row r="473" spans="22:22" x14ac:dyDescent="0.25">
      <c r="V473" s="77"/>
    </row>
    <row r="474" spans="22:22" x14ac:dyDescent="0.25">
      <c r="V474" s="77"/>
    </row>
    <row r="475" spans="22:22" x14ac:dyDescent="0.25">
      <c r="V475" s="77"/>
    </row>
    <row r="476" spans="22:22" x14ac:dyDescent="0.25">
      <c r="V476" s="77"/>
    </row>
    <row r="477" spans="22:22" x14ac:dyDescent="0.25">
      <c r="V477" s="77"/>
    </row>
    <row r="478" spans="22:22" x14ac:dyDescent="0.25">
      <c r="V478" s="77"/>
    </row>
    <row r="479" spans="22:22" x14ac:dyDescent="0.25">
      <c r="V479" s="77"/>
    </row>
    <row r="480" spans="22:22" x14ac:dyDescent="0.25">
      <c r="V480" s="77"/>
    </row>
    <row r="481" spans="22:22" x14ac:dyDescent="0.25">
      <c r="V481" s="77"/>
    </row>
    <row r="482" spans="22:22" x14ac:dyDescent="0.25">
      <c r="V482" s="77"/>
    </row>
    <row r="483" spans="22:22" x14ac:dyDescent="0.25">
      <c r="V483" s="77"/>
    </row>
    <row r="484" spans="22:22" x14ac:dyDescent="0.25">
      <c r="V484" s="77"/>
    </row>
    <row r="485" spans="22:22" x14ac:dyDescent="0.25">
      <c r="V485" s="77"/>
    </row>
    <row r="486" spans="22:22" x14ac:dyDescent="0.25">
      <c r="V486" s="77"/>
    </row>
    <row r="487" spans="22:22" x14ac:dyDescent="0.25">
      <c r="V487" s="77"/>
    </row>
    <row r="488" spans="22:22" x14ac:dyDescent="0.25">
      <c r="V488" s="77"/>
    </row>
    <row r="489" spans="22:22" x14ac:dyDescent="0.25">
      <c r="V489" s="77"/>
    </row>
    <row r="490" spans="22:22" x14ac:dyDescent="0.25">
      <c r="V490" s="77"/>
    </row>
    <row r="491" spans="22:22" x14ac:dyDescent="0.25">
      <c r="V491" s="77"/>
    </row>
    <row r="492" spans="22:22" x14ac:dyDescent="0.25">
      <c r="V492" s="77"/>
    </row>
    <row r="493" spans="22:22" x14ac:dyDescent="0.25">
      <c r="V493" s="77"/>
    </row>
    <row r="494" spans="22:22" x14ac:dyDescent="0.25">
      <c r="V494" s="77"/>
    </row>
    <row r="495" spans="22:22" x14ac:dyDescent="0.25">
      <c r="V495" s="77"/>
    </row>
    <row r="496" spans="22:22" x14ac:dyDescent="0.25">
      <c r="V496" s="77"/>
    </row>
    <row r="497" spans="22:22" x14ac:dyDescent="0.25">
      <c r="V497" s="77"/>
    </row>
    <row r="498" spans="22:22" x14ac:dyDescent="0.25">
      <c r="V498" s="77"/>
    </row>
    <row r="499" spans="22:22" x14ac:dyDescent="0.25">
      <c r="V499" s="77"/>
    </row>
    <row r="500" spans="22:22" x14ac:dyDescent="0.25">
      <c r="V500" s="77"/>
    </row>
    <row r="501" spans="22:22" x14ac:dyDescent="0.25">
      <c r="V501" s="77"/>
    </row>
    <row r="502" spans="22:22" x14ac:dyDescent="0.25">
      <c r="V502" s="77"/>
    </row>
    <row r="503" spans="22:22" x14ac:dyDescent="0.25">
      <c r="V503" s="77"/>
    </row>
    <row r="504" spans="22:22" x14ac:dyDescent="0.25">
      <c r="V504" s="77"/>
    </row>
    <row r="505" spans="22:22" x14ac:dyDescent="0.25">
      <c r="V505" s="77"/>
    </row>
    <row r="506" spans="22:22" x14ac:dyDescent="0.25">
      <c r="V506" s="77"/>
    </row>
    <row r="507" spans="22:22" x14ac:dyDescent="0.25">
      <c r="V507" s="77"/>
    </row>
    <row r="508" spans="22:22" x14ac:dyDescent="0.25">
      <c r="V508" s="77"/>
    </row>
    <row r="509" spans="22:22" x14ac:dyDescent="0.25">
      <c r="V509" s="77"/>
    </row>
    <row r="510" spans="22:22" x14ac:dyDescent="0.25">
      <c r="V510" s="77"/>
    </row>
    <row r="511" spans="22:22" x14ac:dyDescent="0.25">
      <c r="V511" s="77"/>
    </row>
    <row r="512" spans="22:22" x14ac:dyDescent="0.25">
      <c r="V512" s="77"/>
    </row>
    <row r="513" spans="22:22" x14ac:dyDescent="0.25">
      <c r="V513" s="77"/>
    </row>
    <row r="514" spans="22:22" x14ac:dyDescent="0.25">
      <c r="V514" s="77"/>
    </row>
    <row r="515" spans="22:22" x14ac:dyDescent="0.25">
      <c r="V515" s="77"/>
    </row>
    <row r="516" spans="22:22" x14ac:dyDescent="0.25">
      <c r="V516" s="77"/>
    </row>
    <row r="517" spans="22:22" x14ac:dyDescent="0.25">
      <c r="V517" s="77"/>
    </row>
    <row r="518" spans="22:22" x14ac:dyDescent="0.25">
      <c r="V518" s="77"/>
    </row>
    <row r="519" spans="22:22" x14ac:dyDescent="0.25">
      <c r="V519" s="77"/>
    </row>
    <row r="520" spans="22:22" x14ac:dyDescent="0.25">
      <c r="V520" s="77"/>
    </row>
    <row r="521" spans="22:22" x14ac:dyDescent="0.25">
      <c r="V521" s="77"/>
    </row>
    <row r="522" spans="22:22" x14ac:dyDescent="0.25">
      <c r="V522" s="77"/>
    </row>
    <row r="523" spans="22:22" x14ac:dyDescent="0.25">
      <c r="V523" s="77"/>
    </row>
    <row r="524" spans="22:22" x14ac:dyDescent="0.25">
      <c r="V524" s="77"/>
    </row>
    <row r="525" spans="22:22" x14ac:dyDescent="0.25">
      <c r="V525" s="77"/>
    </row>
    <row r="526" spans="22:22" x14ac:dyDescent="0.25">
      <c r="V526" s="77"/>
    </row>
    <row r="527" spans="22:22" x14ac:dyDescent="0.25">
      <c r="V527" s="77"/>
    </row>
    <row r="528" spans="22:22" x14ac:dyDescent="0.25">
      <c r="V528" s="77"/>
    </row>
    <row r="529" spans="22:22" x14ac:dyDescent="0.25">
      <c r="V529" s="77"/>
    </row>
    <row r="530" spans="22:22" x14ac:dyDescent="0.25">
      <c r="V530" s="77"/>
    </row>
    <row r="531" spans="22:22" x14ac:dyDescent="0.25">
      <c r="V531" s="77"/>
    </row>
    <row r="532" spans="22:22" x14ac:dyDescent="0.25">
      <c r="V532" s="77"/>
    </row>
    <row r="533" spans="22:22" x14ac:dyDescent="0.25">
      <c r="V533" s="77"/>
    </row>
    <row r="534" spans="22:22" x14ac:dyDescent="0.25">
      <c r="V534" s="77"/>
    </row>
    <row r="535" spans="22:22" x14ac:dyDescent="0.25">
      <c r="V535" s="77"/>
    </row>
    <row r="536" spans="22:22" x14ac:dyDescent="0.25">
      <c r="V536" s="77"/>
    </row>
    <row r="537" spans="22:22" x14ac:dyDescent="0.25">
      <c r="V537" s="77"/>
    </row>
    <row r="538" spans="22:22" x14ac:dyDescent="0.25">
      <c r="V538" s="77"/>
    </row>
    <row r="539" spans="22:22" x14ac:dyDescent="0.25">
      <c r="V539" s="77"/>
    </row>
    <row r="540" spans="22:22" x14ac:dyDescent="0.25">
      <c r="V540" s="77"/>
    </row>
    <row r="541" spans="22:22" x14ac:dyDescent="0.25">
      <c r="V541" s="77"/>
    </row>
    <row r="542" spans="22:22" x14ac:dyDescent="0.25">
      <c r="V542" s="77"/>
    </row>
    <row r="543" spans="22:22" x14ac:dyDescent="0.25">
      <c r="V543" s="77"/>
    </row>
    <row r="544" spans="22:22" x14ac:dyDescent="0.25">
      <c r="V544" s="77"/>
    </row>
    <row r="545" spans="22:22" x14ac:dyDescent="0.25">
      <c r="V545" s="77"/>
    </row>
    <row r="546" spans="22:22" x14ac:dyDescent="0.25">
      <c r="V546" s="77"/>
    </row>
    <row r="547" spans="22:22" x14ac:dyDescent="0.25">
      <c r="V547" s="77"/>
    </row>
    <row r="548" spans="22:22" x14ac:dyDescent="0.25">
      <c r="V548" s="77"/>
    </row>
    <row r="549" spans="22:22" x14ac:dyDescent="0.25">
      <c r="V549" s="77"/>
    </row>
    <row r="550" spans="22:22" x14ac:dyDescent="0.25">
      <c r="V550" s="77"/>
    </row>
    <row r="551" spans="22:22" x14ac:dyDescent="0.25">
      <c r="V551" s="77"/>
    </row>
    <row r="552" spans="22:22" x14ac:dyDescent="0.25">
      <c r="V552" s="77"/>
    </row>
    <row r="553" spans="22:22" x14ac:dyDescent="0.25">
      <c r="V553" s="77"/>
    </row>
    <row r="554" spans="22:22" x14ac:dyDescent="0.25">
      <c r="V554" s="77"/>
    </row>
    <row r="555" spans="22:22" x14ac:dyDescent="0.25">
      <c r="V555" s="77"/>
    </row>
    <row r="556" spans="22:22" x14ac:dyDescent="0.25">
      <c r="V556" s="77"/>
    </row>
    <row r="557" spans="22:22" x14ac:dyDescent="0.25">
      <c r="V557" s="77"/>
    </row>
    <row r="558" spans="22:22" x14ac:dyDescent="0.25">
      <c r="V558" s="77"/>
    </row>
    <row r="559" spans="22:22" x14ac:dyDescent="0.25">
      <c r="V559" s="77"/>
    </row>
    <row r="560" spans="22:22" x14ac:dyDescent="0.25">
      <c r="V560" s="77"/>
    </row>
    <row r="561" spans="22:22" x14ac:dyDescent="0.25">
      <c r="V561" s="77"/>
    </row>
    <row r="562" spans="22:22" x14ac:dyDescent="0.25">
      <c r="V562" s="77"/>
    </row>
    <row r="563" spans="22:22" x14ac:dyDescent="0.25">
      <c r="V563" s="77"/>
    </row>
    <row r="564" spans="22:22" x14ac:dyDescent="0.25">
      <c r="V564" s="77"/>
    </row>
    <row r="565" spans="22:22" x14ac:dyDescent="0.25">
      <c r="V565" s="77"/>
    </row>
    <row r="566" spans="22:22" x14ac:dyDescent="0.25">
      <c r="V566" s="77"/>
    </row>
    <row r="567" spans="22:22" x14ac:dyDescent="0.25">
      <c r="V567" s="77"/>
    </row>
    <row r="568" spans="22:22" x14ac:dyDescent="0.25">
      <c r="V568" s="77"/>
    </row>
    <row r="569" spans="22:22" x14ac:dyDescent="0.25">
      <c r="V569" s="77"/>
    </row>
    <row r="570" spans="22:22" x14ac:dyDescent="0.25">
      <c r="V570" s="77"/>
    </row>
    <row r="571" spans="22:22" x14ac:dyDescent="0.25">
      <c r="V571" s="77"/>
    </row>
    <row r="572" spans="22:22" x14ac:dyDescent="0.25">
      <c r="V572" s="77"/>
    </row>
    <row r="573" spans="22:22" x14ac:dyDescent="0.25">
      <c r="V573" s="77"/>
    </row>
    <row r="574" spans="22:22" x14ac:dyDescent="0.25">
      <c r="V574" s="77"/>
    </row>
    <row r="575" spans="22:22" x14ac:dyDescent="0.25">
      <c r="V575" s="77"/>
    </row>
    <row r="576" spans="22:22" x14ac:dyDescent="0.25">
      <c r="V576" s="77"/>
    </row>
    <row r="577" spans="22:22" x14ac:dyDescent="0.25">
      <c r="V577" s="77"/>
    </row>
    <row r="578" spans="22:22" x14ac:dyDescent="0.25">
      <c r="V578" s="77"/>
    </row>
    <row r="579" spans="22:22" x14ac:dyDescent="0.25">
      <c r="V579" s="77"/>
    </row>
    <row r="580" spans="22:22" x14ac:dyDescent="0.25">
      <c r="V580" s="77"/>
    </row>
    <row r="581" spans="22:22" x14ac:dyDescent="0.25">
      <c r="V581" s="77"/>
    </row>
    <row r="582" spans="22:22" x14ac:dyDescent="0.25">
      <c r="V582" s="77"/>
    </row>
    <row r="583" spans="22:22" x14ac:dyDescent="0.25">
      <c r="V583" s="77"/>
    </row>
    <row r="584" spans="22:22" x14ac:dyDescent="0.25">
      <c r="V584" s="77"/>
    </row>
    <row r="585" spans="22:22" x14ac:dyDescent="0.25">
      <c r="V585" s="77"/>
    </row>
    <row r="586" spans="22:22" x14ac:dyDescent="0.25">
      <c r="V586" s="77"/>
    </row>
    <row r="587" spans="22:22" x14ac:dyDescent="0.25">
      <c r="V587" s="77"/>
    </row>
    <row r="588" spans="22:22" x14ac:dyDescent="0.25">
      <c r="V588" s="77"/>
    </row>
    <row r="589" spans="22:22" x14ac:dyDescent="0.25">
      <c r="V589" s="77"/>
    </row>
    <row r="590" spans="22:22" x14ac:dyDescent="0.25">
      <c r="V590" s="77"/>
    </row>
    <row r="591" spans="22:22" x14ac:dyDescent="0.25">
      <c r="V591" s="77"/>
    </row>
    <row r="592" spans="22:22" x14ac:dyDescent="0.25">
      <c r="V592" s="77"/>
    </row>
    <row r="593" spans="22:22" x14ac:dyDescent="0.25">
      <c r="V593" s="77"/>
    </row>
    <row r="594" spans="22:22" x14ac:dyDescent="0.25">
      <c r="V594" s="77"/>
    </row>
    <row r="595" spans="22:22" x14ac:dyDescent="0.25">
      <c r="V595" s="77"/>
    </row>
    <row r="596" spans="22:22" x14ac:dyDescent="0.25">
      <c r="V596" s="77"/>
    </row>
    <row r="597" spans="22:22" x14ac:dyDescent="0.25">
      <c r="V597" s="77"/>
    </row>
    <row r="598" spans="22:22" x14ac:dyDescent="0.25">
      <c r="V598" s="77"/>
    </row>
    <row r="599" spans="22:22" x14ac:dyDescent="0.25">
      <c r="V599" s="77"/>
    </row>
    <row r="600" spans="22:22" x14ac:dyDescent="0.25">
      <c r="V600" s="77"/>
    </row>
    <row r="601" spans="22:22" x14ac:dyDescent="0.25">
      <c r="V601" s="77"/>
    </row>
    <row r="602" spans="22:22" x14ac:dyDescent="0.25">
      <c r="V602" s="77"/>
    </row>
    <row r="603" spans="22:22" x14ac:dyDescent="0.25">
      <c r="V603" s="77"/>
    </row>
    <row r="604" spans="22:22" x14ac:dyDescent="0.25">
      <c r="V604" s="77"/>
    </row>
    <row r="605" spans="22:22" x14ac:dyDescent="0.25">
      <c r="V605" s="77"/>
    </row>
    <row r="606" spans="22:22" x14ac:dyDescent="0.25">
      <c r="V606" s="77"/>
    </row>
    <row r="607" spans="22:22" x14ac:dyDescent="0.25">
      <c r="V607" s="77"/>
    </row>
    <row r="608" spans="22:22" x14ac:dyDescent="0.25">
      <c r="V608" s="77"/>
    </row>
    <row r="609" spans="22:22" x14ac:dyDescent="0.25">
      <c r="V609" s="77"/>
    </row>
    <row r="610" spans="22:22" x14ac:dyDescent="0.25">
      <c r="V610" s="77"/>
    </row>
    <row r="611" spans="22:22" x14ac:dyDescent="0.25">
      <c r="V611" s="77"/>
    </row>
  </sheetData>
  <mergeCells count="1">
    <mergeCell ref="F2:Q2"/>
  </mergeCells>
  <conditionalFormatting sqref="AG1:AG1048576">
    <cfRule type="containsText" dxfId="0" priority="1" operator="containsText" text="FALSE">
      <formula>NOT(ISERROR(SEARCH("FALSE",AG1)))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T66"/>
  <sheetViews>
    <sheetView topLeftCell="B6" workbookViewId="0">
      <selection activeCell="H29" sqref="A27:H29"/>
    </sheetView>
  </sheetViews>
  <sheetFormatPr defaultColWidth="10" defaultRowHeight="15" x14ac:dyDescent="0.25"/>
  <cols>
    <col min="1" max="1" width="12.42578125" style="44" hidden="1" customWidth="1"/>
    <col min="2" max="2" width="6.42578125" style="44" bestFit="1" customWidth="1"/>
    <col min="3" max="3" width="40" style="44" customWidth="1"/>
    <col min="4" max="4" width="21" style="44" customWidth="1"/>
    <col min="5" max="5" width="5" style="77" customWidth="1"/>
    <col min="6" max="17" width="11.7109375" style="77" bestFit="1" customWidth="1"/>
    <col min="18" max="18" width="4.42578125" style="77" customWidth="1"/>
    <col min="19" max="19" width="13.42578125" style="77" bestFit="1" customWidth="1"/>
    <col min="20" max="16384" width="10" style="77"/>
  </cols>
  <sheetData>
    <row r="2" spans="1:20" ht="15.75" thickBot="1" x14ac:dyDescent="0.3">
      <c r="C2" s="315" t="s">
        <v>146</v>
      </c>
      <c r="D2" s="315"/>
    </row>
    <row r="3" spans="1:20" ht="15.75" thickTop="1" x14ac:dyDescent="0.25">
      <c r="C3" s="316" t="s">
        <v>147</v>
      </c>
      <c r="D3" s="316"/>
      <c r="F3" s="92" t="s">
        <v>148</v>
      </c>
      <c r="G3" s="92" t="s">
        <v>148</v>
      </c>
      <c r="H3" s="92" t="s">
        <v>148</v>
      </c>
      <c r="I3" s="92" t="s">
        <v>149</v>
      </c>
      <c r="J3" s="92" t="s">
        <v>149</v>
      </c>
      <c r="K3" s="92" t="s">
        <v>149</v>
      </c>
      <c r="L3" s="92" t="s">
        <v>150</v>
      </c>
      <c r="M3" s="92" t="s">
        <v>150</v>
      </c>
      <c r="N3" s="92" t="s">
        <v>150</v>
      </c>
      <c r="O3" s="92" t="s">
        <v>151</v>
      </c>
      <c r="P3" s="92" t="s">
        <v>151</v>
      </c>
      <c r="Q3" s="92" t="s">
        <v>151</v>
      </c>
    </row>
    <row r="4" spans="1:20" x14ac:dyDescent="0.25">
      <c r="C4" s="45" t="s">
        <v>152</v>
      </c>
      <c r="D4" s="46" t="s">
        <v>191</v>
      </c>
      <c r="F4" s="90">
        <v>45474</v>
      </c>
      <c r="G4" s="90">
        <v>45505</v>
      </c>
      <c r="H4" s="90">
        <v>45536</v>
      </c>
      <c r="I4" s="90">
        <v>45566</v>
      </c>
      <c r="J4" s="90">
        <v>45597</v>
      </c>
      <c r="K4" s="90">
        <v>45627</v>
      </c>
      <c r="L4" s="90">
        <v>45658</v>
      </c>
      <c r="M4" s="90">
        <v>45689</v>
      </c>
      <c r="N4" s="90">
        <v>45717</v>
      </c>
      <c r="O4" s="90">
        <v>45748</v>
      </c>
      <c r="P4" s="90">
        <v>45778</v>
      </c>
      <c r="Q4" s="90">
        <v>45809</v>
      </c>
      <c r="S4" s="179" t="s">
        <v>190</v>
      </c>
      <c r="T4" s="178" t="s">
        <v>71</v>
      </c>
    </row>
    <row r="5" spans="1:20" x14ac:dyDescent="0.25">
      <c r="A5" s="47" t="s">
        <v>153</v>
      </c>
      <c r="B5" s="48"/>
      <c r="C5" s="49" t="s">
        <v>55</v>
      </c>
      <c r="D5" s="50"/>
    </row>
    <row r="6" spans="1:20" x14ac:dyDescent="0.25">
      <c r="A6" s="47" t="s">
        <v>154</v>
      </c>
      <c r="B6" s="48">
        <v>1</v>
      </c>
      <c r="C6" s="52" t="s">
        <v>154</v>
      </c>
      <c r="D6" s="175">
        <v>385030</v>
      </c>
      <c r="F6" s="260">
        <v>36628.077288220273</v>
      </c>
      <c r="G6" s="260">
        <v>35727.678550967656</v>
      </c>
      <c r="H6" s="260">
        <v>34656.116514536232</v>
      </c>
      <c r="I6" s="260">
        <v>35269.611800911654</v>
      </c>
      <c r="J6" s="260">
        <v>31269.858087128578</v>
      </c>
      <c r="K6" s="260">
        <v>30539.442942289079</v>
      </c>
      <c r="L6" s="260">
        <v>29190.933556736203</v>
      </c>
      <c r="M6" s="260">
        <v>25688.885916475403</v>
      </c>
      <c r="N6" s="260">
        <v>28809.209835129834</v>
      </c>
      <c r="O6" s="260">
        <v>29447.681936886598</v>
      </c>
      <c r="P6" s="260">
        <v>33826.262360338282</v>
      </c>
      <c r="Q6" s="260">
        <v>33976.617795747283</v>
      </c>
      <c r="R6" s="261"/>
      <c r="S6" s="262">
        <f>ROUND(SUM(F6:Q6),0)</f>
        <v>385030</v>
      </c>
      <c r="T6" s="166" t="b">
        <f t="shared" ref="T6:T11" si="0">+S6=D6</f>
        <v>1</v>
      </c>
    </row>
    <row r="7" spans="1:20" x14ac:dyDescent="0.25">
      <c r="A7" s="47" t="s">
        <v>155</v>
      </c>
      <c r="B7" s="48">
        <v>2</v>
      </c>
      <c r="C7" s="52" t="s">
        <v>155</v>
      </c>
      <c r="D7" s="175">
        <v>599968</v>
      </c>
      <c r="F7" s="260">
        <v>51899.255650843072</v>
      </c>
      <c r="G7" s="260">
        <v>51506.714945958556</v>
      </c>
      <c r="H7" s="260">
        <v>51773.842911801825</v>
      </c>
      <c r="I7" s="260">
        <v>52502.484774005046</v>
      </c>
      <c r="J7" s="260">
        <v>50214.964020770618</v>
      </c>
      <c r="K7" s="260">
        <v>49158.851980851417</v>
      </c>
      <c r="L7" s="260">
        <v>46710.137191116912</v>
      </c>
      <c r="M7" s="260">
        <v>44570.431202986198</v>
      </c>
      <c r="N7" s="260">
        <v>50946.131010188685</v>
      </c>
      <c r="O7" s="260">
        <v>49540.359252771726</v>
      </c>
      <c r="P7" s="260">
        <v>50775.072606496971</v>
      </c>
      <c r="Q7" s="260">
        <v>50370.038512412575</v>
      </c>
      <c r="R7" s="261"/>
      <c r="S7" s="262">
        <f t="shared" ref="S7:S11" si="1">ROUND(SUM(F7:Q7),0)</f>
        <v>599968</v>
      </c>
      <c r="T7" s="166" t="b">
        <f t="shared" si="0"/>
        <v>1</v>
      </c>
    </row>
    <row r="8" spans="1:20" x14ac:dyDescent="0.25">
      <c r="A8" s="47" t="s">
        <v>156</v>
      </c>
      <c r="B8" s="48">
        <v>3</v>
      </c>
      <c r="C8" s="52" t="s">
        <v>156</v>
      </c>
      <c r="D8" s="175">
        <v>101823</v>
      </c>
      <c r="F8" s="260">
        <v>8740.3214906839603</v>
      </c>
      <c r="G8" s="260">
        <v>8866.7233259862242</v>
      </c>
      <c r="H8" s="260">
        <v>8603.1445659636374</v>
      </c>
      <c r="I8" s="260">
        <v>8645.9438405016917</v>
      </c>
      <c r="J8" s="260">
        <v>8489.1233245238836</v>
      </c>
      <c r="K8" s="260">
        <v>8449.1218959370835</v>
      </c>
      <c r="L8" s="260">
        <v>7718.5144681040656</v>
      </c>
      <c r="M8" s="260">
        <v>7987.882823069569</v>
      </c>
      <c r="N8" s="260">
        <v>8686.3840338197515</v>
      </c>
      <c r="O8" s="260">
        <v>8131.1452823806612</v>
      </c>
      <c r="P8" s="260">
        <v>8700.5597620541994</v>
      </c>
      <c r="Q8" s="260">
        <v>8803.8490262284922</v>
      </c>
      <c r="R8" s="261"/>
      <c r="S8" s="262">
        <f t="shared" si="1"/>
        <v>101823</v>
      </c>
      <c r="T8" s="166" t="b">
        <f t="shared" si="0"/>
        <v>1</v>
      </c>
    </row>
    <row r="9" spans="1:20" x14ac:dyDescent="0.25">
      <c r="A9" s="47" t="s">
        <v>157</v>
      </c>
      <c r="B9" s="48">
        <v>4</v>
      </c>
      <c r="C9" s="52" t="s">
        <v>157</v>
      </c>
      <c r="D9" s="175">
        <v>60477</v>
      </c>
      <c r="F9" s="260">
        <v>5040.1152413615127</v>
      </c>
      <c r="G9" s="260">
        <v>5038.8986534891856</v>
      </c>
      <c r="H9" s="260">
        <v>5037.9493046464186</v>
      </c>
      <c r="I9" s="260">
        <v>5040.3527726913571</v>
      </c>
      <c r="J9" s="260">
        <v>5037.3951905977192</v>
      </c>
      <c r="K9" s="260">
        <v>5040.9988964665845</v>
      </c>
      <c r="L9" s="260">
        <v>5043.4015053528783</v>
      </c>
      <c r="M9" s="260">
        <v>5039.8000345471937</v>
      </c>
      <c r="N9" s="260">
        <v>5040.6568766663486</v>
      </c>
      <c r="O9" s="260">
        <v>5040.1901644548489</v>
      </c>
      <c r="P9" s="260">
        <v>5039.862878127492</v>
      </c>
      <c r="Q9" s="260">
        <v>5037.1380178382633</v>
      </c>
      <c r="R9" s="261"/>
      <c r="S9" s="262">
        <f t="shared" si="1"/>
        <v>60477</v>
      </c>
      <c r="T9" s="166" t="b">
        <f t="shared" si="0"/>
        <v>1</v>
      </c>
    </row>
    <row r="10" spans="1:20" x14ac:dyDescent="0.25">
      <c r="A10" s="47" t="s">
        <v>158</v>
      </c>
      <c r="B10" s="48">
        <v>5</v>
      </c>
      <c r="C10" s="52" t="s">
        <v>158</v>
      </c>
      <c r="D10" s="175">
        <v>1893</v>
      </c>
      <c r="F10" s="260">
        <v>183.4304988955362</v>
      </c>
      <c r="G10" s="260">
        <v>162.13080595807637</v>
      </c>
      <c r="H10" s="260">
        <v>157.24211646972327</v>
      </c>
      <c r="I10" s="260">
        <v>174.69628084709501</v>
      </c>
      <c r="J10" s="260">
        <v>156.52823322316485</v>
      </c>
      <c r="K10" s="260">
        <v>146.98691112996306</v>
      </c>
      <c r="L10" s="260">
        <v>151.45698812823841</v>
      </c>
      <c r="M10" s="260">
        <v>129.07160597206106</v>
      </c>
      <c r="N10" s="260">
        <v>152.66970474397684</v>
      </c>
      <c r="O10" s="260">
        <v>153.61151375942862</v>
      </c>
      <c r="P10" s="260">
        <v>150.09598143199509</v>
      </c>
      <c r="Q10" s="260">
        <v>175.50571760882642</v>
      </c>
      <c r="R10" s="261"/>
      <c r="S10" s="262">
        <f t="shared" si="1"/>
        <v>1893</v>
      </c>
      <c r="T10" s="166" t="b">
        <f t="shared" si="0"/>
        <v>1</v>
      </c>
    </row>
    <row r="11" spans="1:20" x14ac:dyDescent="0.25">
      <c r="A11" s="47" t="s">
        <v>159</v>
      </c>
      <c r="B11" s="48">
        <v>6</v>
      </c>
      <c r="C11" s="52" t="s">
        <v>159</v>
      </c>
      <c r="D11" s="175">
        <v>2265</v>
      </c>
      <c r="F11" s="260">
        <v>197.17164034266298</v>
      </c>
      <c r="G11" s="260">
        <v>194.04239068086082</v>
      </c>
      <c r="H11" s="260">
        <v>194.64328996319824</v>
      </c>
      <c r="I11" s="260">
        <v>199.77854907382931</v>
      </c>
      <c r="J11" s="260">
        <v>194.36426476632911</v>
      </c>
      <c r="K11" s="260">
        <v>190.20034621738952</v>
      </c>
      <c r="L11" s="260">
        <v>187.93592431685363</v>
      </c>
      <c r="M11" s="260">
        <v>165.90019505469107</v>
      </c>
      <c r="N11" s="260">
        <v>172.47541379857105</v>
      </c>
      <c r="O11" s="260">
        <v>168.33100597630911</v>
      </c>
      <c r="P11" s="260">
        <v>202.49931875964023</v>
      </c>
      <c r="Q11" s="260">
        <v>197.20917495766506</v>
      </c>
      <c r="R11" s="261"/>
      <c r="S11" s="262">
        <f t="shared" si="1"/>
        <v>2265</v>
      </c>
      <c r="T11" s="166" t="b">
        <f t="shared" si="0"/>
        <v>1</v>
      </c>
    </row>
    <row r="12" spans="1:20" x14ac:dyDescent="0.25">
      <c r="A12" s="47" t="s">
        <v>160</v>
      </c>
      <c r="B12" s="48"/>
      <c r="C12" s="53" t="s">
        <v>161</v>
      </c>
      <c r="D12" s="168">
        <f>SUM(D6:D11)</f>
        <v>1151456</v>
      </c>
      <c r="F12" s="263">
        <v>102688.371810347</v>
      </c>
      <c r="G12" s="263">
        <v>101496.18867304055</v>
      </c>
      <c r="H12" s="263">
        <v>100422.93870338102</v>
      </c>
      <c r="I12" s="263">
        <v>101832.86801803068</v>
      </c>
      <c r="J12" s="263">
        <v>95362.2331210103</v>
      </c>
      <c r="K12" s="263">
        <v>93525.602972891516</v>
      </c>
      <c r="L12" s="263">
        <v>89002.379633755147</v>
      </c>
      <c r="M12" s="263">
        <v>83581.971778105115</v>
      </c>
      <c r="N12" s="263">
        <v>93807.526874347168</v>
      </c>
      <c r="O12" s="263">
        <v>92481.319156229583</v>
      </c>
      <c r="P12" s="263">
        <v>98694.352907208566</v>
      </c>
      <c r="Q12" s="263">
        <v>98560.358244793097</v>
      </c>
      <c r="R12" s="264"/>
      <c r="S12" s="265">
        <f>SUM(S6:S11)</f>
        <v>1151456</v>
      </c>
      <c r="T12" s="166" t="b">
        <f>+S12=D12</f>
        <v>1</v>
      </c>
    </row>
    <row r="13" spans="1:20" x14ac:dyDescent="0.25">
      <c r="A13" s="47"/>
      <c r="B13" s="48"/>
      <c r="C13" s="53"/>
      <c r="D13" s="172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7"/>
      <c r="S13" s="266"/>
      <c r="T13" s="268"/>
    </row>
    <row r="14" spans="1:20" x14ac:dyDescent="0.25">
      <c r="A14" s="54" t="s">
        <v>162</v>
      </c>
      <c r="B14" s="48"/>
      <c r="C14" s="55" t="s">
        <v>32</v>
      </c>
      <c r="D14" s="176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1"/>
      <c r="S14" s="261"/>
    </row>
    <row r="15" spans="1:20" x14ac:dyDescent="0.25">
      <c r="A15" s="54" t="s">
        <v>154</v>
      </c>
      <c r="B15" s="48">
        <v>7</v>
      </c>
      <c r="C15" s="56" t="s">
        <v>154</v>
      </c>
      <c r="D15" s="175">
        <v>991585</v>
      </c>
      <c r="F15" s="260">
        <v>94680.872217430995</v>
      </c>
      <c r="G15" s="260">
        <v>92156.61942103933</v>
      </c>
      <c r="H15" s="260">
        <v>89153.133470244458</v>
      </c>
      <c r="I15" s="260">
        <v>91546.975267311427</v>
      </c>
      <c r="J15" s="260">
        <v>80260.909860790489</v>
      </c>
      <c r="K15" s="260">
        <v>78197.298248319974</v>
      </c>
      <c r="L15" s="260">
        <v>77907.770274391587</v>
      </c>
      <c r="M15" s="260">
        <v>66409.084141047715</v>
      </c>
      <c r="N15" s="260">
        <v>76647.041637815957</v>
      </c>
      <c r="O15" s="260">
        <v>73163.370047029646</v>
      </c>
      <c r="P15" s="260">
        <v>85525.024331965702</v>
      </c>
      <c r="Q15" s="260">
        <v>85936.691536115744</v>
      </c>
      <c r="R15" s="261"/>
      <c r="S15" s="262">
        <f>ROUND(SUM(F15:Q15),0)</f>
        <v>991585</v>
      </c>
      <c r="T15" s="166" t="b">
        <f t="shared" ref="T15:T21" si="2">+S15=D15</f>
        <v>1</v>
      </c>
    </row>
    <row r="16" spans="1:20" x14ac:dyDescent="0.25">
      <c r="A16" s="54" t="s">
        <v>155</v>
      </c>
      <c r="B16" s="48">
        <v>8</v>
      </c>
      <c r="C16" s="56" t="s">
        <v>155</v>
      </c>
      <c r="D16" s="175">
        <v>1209376</v>
      </c>
      <c r="F16" s="260">
        <v>105247.54897435858</v>
      </c>
      <c r="G16" s="260">
        <v>104047.49953717233</v>
      </c>
      <c r="H16" s="260">
        <v>104872.52579075254</v>
      </c>
      <c r="I16" s="260">
        <v>107915.40652493307</v>
      </c>
      <c r="J16" s="260">
        <v>100845.29648336944</v>
      </c>
      <c r="K16" s="260">
        <v>97619.596183116621</v>
      </c>
      <c r="L16" s="260">
        <v>95340.010522475233</v>
      </c>
      <c r="M16" s="260">
        <v>88886.973856295779</v>
      </c>
      <c r="N16" s="260">
        <v>108521.92461911513</v>
      </c>
      <c r="O16" s="260">
        <v>96606.723170226935</v>
      </c>
      <c r="P16" s="260">
        <v>100347.00901546614</v>
      </c>
      <c r="Q16" s="260">
        <v>99126.242139194859</v>
      </c>
      <c r="R16" s="261"/>
      <c r="S16" s="262">
        <f t="shared" ref="S16:S20" si="3">ROUND(SUM(F16:Q16),0)</f>
        <v>1209377</v>
      </c>
      <c r="T16" s="166" t="b">
        <f t="shared" si="2"/>
        <v>0</v>
      </c>
    </row>
    <row r="17" spans="1:20" x14ac:dyDescent="0.25">
      <c r="A17" s="54" t="s">
        <v>156</v>
      </c>
      <c r="B17" s="48">
        <v>9</v>
      </c>
      <c r="C17" s="56" t="s">
        <v>156</v>
      </c>
      <c r="D17" s="175">
        <v>267967</v>
      </c>
      <c r="F17" s="260">
        <v>23311.81295334276</v>
      </c>
      <c r="G17" s="260">
        <v>23941.010177250842</v>
      </c>
      <c r="H17" s="260">
        <v>22634.368645580762</v>
      </c>
      <c r="I17" s="260">
        <v>23016.070825420727</v>
      </c>
      <c r="J17" s="260">
        <v>22243.361795132038</v>
      </c>
      <c r="K17" s="260">
        <v>22047.038557818585</v>
      </c>
      <c r="L17" s="260">
        <v>19411.236286905172</v>
      </c>
      <c r="M17" s="260">
        <v>20809.402706593461</v>
      </c>
      <c r="N17" s="260">
        <v>24440.084015718643</v>
      </c>
      <c r="O17" s="260">
        <v>20033.378328681949</v>
      </c>
      <c r="P17" s="260">
        <v>22786.069715668324</v>
      </c>
      <c r="Q17" s="260">
        <v>23293.601556427766</v>
      </c>
      <c r="R17" s="261"/>
      <c r="S17" s="262">
        <f t="shared" si="3"/>
        <v>267967</v>
      </c>
      <c r="T17" s="166" t="b">
        <f t="shared" si="2"/>
        <v>1</v>
      </c>
    </row>
    <row r="18" spans="1:20" x14ac:dyDescent="0.25">
      <c r="A18" s="54" t="s">
        <v>157</v>
      </c>
      <c r="B18" s="48">
        <v>10</v>
      </c>
      <c r="C18" s="56" t="s">
        <v>157</v>
      </c>
      <c r="D18" s="175">
        <v>41550</v>
      </c>
      <c r="F18" s="260">
        <v>3461.1587630630916</v>
      </c>
      <c r="G18" s="260">
        <v>3313.3786020403259</v>
      </c>
      <c r="H18" s="260">
        <v>3198.0602366001885</v>
      </c>
      <c r="I18" s="260">
        <v>3516.0996301471846</v>
      </c>
      <c r="J18" s="260">
        <v>3154.1536803411391</v>
      </c>
      <c r="K18" s="260">
        <v>3595.1716139883306</v>
      </c>
      <c r="L18" s="260">
        <v>4092.6026324578047</v>
      </c>
      <c r="M18" s="260">
        <v>3628.8076365728043</v>
      </c>
      <c r="N18" s="260">
        <v>3739.151190239988</v>
      </c>
      <c r="O18" s="260">
        <v>3418.5168297059222</v>
      </c>
      <c r="P18" s="260">
        <v>3379.3469470472355</v>
      </c>
      <c r="Q18" s="260">
        <v>3053.2335445953909</v>
      </c>
      <c r="R18" s="261"/>
      <c r="S18" s="262">
        <f t="shared" si="3"/>
        <v>41550</v>
      </c>
      <c r="T18" s="166" t="b">
        <f t="shared" si="2"/>
        <v>1</v>
      </c>
    </row>
    <row r="19" spans="1:20" x14ac:dyDescent="0.25">
      <c r="A19" s="54" t="s">
        <v>158</v>
      </c>
      <c r="B19" s="48">
        <v>11</v>
      </c>
      <c r="C19" s="56" t="s">
        <v>158</v>
      </c>
      <c r="D19" s="175">
        <v>3370</v>
      </c>
      <c r="F19" s="260">
        <v>324.17130723295952</v>
      </c>
      <c r="G19" s="260">
        <v>285.37126738531236</v>
      </c>
      <c r="H19" s="260">
        <v>276.48204098940562</v>
      </c>
      <c r="I19" s="260">
        <v>310.59802960401595</v>
      </c>
      <c r="J19" s="260">
        <v>277.25663422359514</v>
      </c>
      <c r="K19" s="260">
        <v>259.75107612741027</v>
      </c>
      <c r="L19" s="260">
        <v>281.98991123815421</v>
      </c>
      <c r="M19" s="260">
        <v>238.7582628778616</v>
      </c>
      <c r="N19" s="260">
        <v>284.35180364941942</v>
      </c>
      <c r="O19" s="260">
        <v>265.96141697457153</v>
      </c>
      <c r="P19" s="260">
        <v>259.66828961194238</v>
      </c>
      <c r="Q19" s="260">
        <v>305.29279302809323</v>
      </c>
      <c r="R19" s="261"/>
      <c r="S19" s="262">
        <f t="shared" si="3"/>
        <v>3370</v>
      </c>
      <c r="T19" s="166" t="b">
        <f t="shared" si="2"/>
        <v>1</v>
      </c>
    </row>
    <row r="20" spans="1:20" x14ac:dyDescent="0.25">
      <c r="A20" s="54" t="s">
        <v>159</v>
      </c>
      <c r="B20" s="48">
        <v>12</v>
      </c>
      <c r="C20" s="56" t="s">
        <v>159</v>
      </c>
      <c r="D20" s="175">
        <v>5964</v>
      </c>
      <c r="F20" s="260">
        <v>524.70139677359725</v>
      </c>
      <c r="G20" s="260">
        <v>512.33023840751684</v>
      </c>
      <c r="H20" s="260">
        <v>514.70583031844762</v>
      </c>
      <c r="I20" s="260">
        <v>539.00669473762105</v>
      </c>
      <c r="J20" s="260">
        <v>517.4418929833131</v>
      </c>
      <c r="K20" s="260">
        <v>500.85723046299057</v>
      </c>
      <c r="L20" s="260">
        <v>517.56091061918653</v>
      </c>
      <c r="M20" s="260">
        <v>425.20364050561494</v>
      </c>
      <c r="N20" s="260">
        <v>452.76203198699346</v>
      </c>
      <c r="O20" s="260">
        <v>404.63036656153974</v>
      </c>
      <c r="P20" s="260">
        <v>537.72037168202473</v>
      </c>
      <c r="Q20" s="260">
        <v>517.11457618496252</v>
      </c>
      <c r="R20" s="261"/>
      <c r="S20" s="262">
        <f t="shared" si="3"/>
        <v>5964</v>
      </c>
      <c r="T20" s="166" t="b">
        <f t="shared" si="2"/>
        <v>1</v>
      </c>
    </row>
    <row r="21" spans="1:20" x14ac:dyDescent="0.25">
      <c r="A21" s="54" t="s">
        <v>160</v>
      </c>
      <c r="B21" s="48"/>
      <c r="C21" s="55" t="s">
        <v>161</v>
      </c>
      <c r="D21" s="168">
        <f>SUM(D15:D20)</f>
        <v>2519812</v>
      </c>
      <c r="F21" s="270">
        <v>227550.26561220197</v>
      </c>
      <c r="G21" s="270">
        <v>224256.20924329566</v>
      </c>
      <c r="H21" s="270">
        <v>220649.27601448577</v>
      </c>
      <c r="I21" s="270">
        <v>226844.15697215401</v>
      </c>
      <c r="J21" s="270">
        <v>207298.42034684005</v>
      </c>
      <c r="K21" s="270">
        <v>202219.71290983391</v>
      </c>
      <c r="L21" s="270">
        <v>197551.17053808708</v>
      </c>
      <c r="M21" s="270">
        <v>180398.23024389322</v>
      </c>
      <c r="N21" s="270">
        <v>214085.31529852614</v>
      </c>
      <c r="O21" s="270">
        <v>193892.58015918059</v>
      </c>
      <c r="P21" s="270">
        <v>212834.83867144136</v>
      </c>
      <c r="Q21" s="270">
        <v>212232.17614554678</v>
      </c>
      <c r="R21" s="261"/>
      <c r="S21" s="265">
        <f>SUM(S15:S20)</f>
        <v>2519813</v>
      </c>
      <c r="T21" s="166" t="b">
        <f t="shared" si="2"/>
        <v>0</v>
      </c>
    </row>
    <row r="22" spans="1:20" x14ac:dyDescent="0.25">
      <c r="A22" s="54">
        <v>0</v>
      </c>
      <c r="B22" s="48"/>
      <c r="C22" s="57"/>
      <c r="D22" s="177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1"/>
      <c r="S22" s="261"/>
    </row>
    <row r="23" spans="1:20" x14ac:dyDescent="0.25">
      <c r="A23" s="54" t="s">
        <v>64</v>
      </c>
      <c r="B23" s="48"/>
      <c r="C23" s="55" t="s">
        <v>64</v>
      </c>
      <c r="D23" s="176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1"/>
      <c r="S23" s="261"/>
    </row>
    <row r="24" spans="1:20" x14ac:dyDescent="0.25">
      <c r="A24" s="54" t="s">
        <v>154</v>
      </c>
      <c r="B24" s="48">
        <v>13</v>
      </c>
      <c r="C24" s="56" t="s">
        <v>154</v>
      </c>
      <c r="D24" s="175">
        <v>36922</v>
      </c>
      <c r="F24" s="260">
        <v>3564.0976195228882</v>
      </c>
      <c r="G24" s="260">
        <v>3469.0764904184475</v>
      </c>
      <c r="H24" s="260">
        <v>3356.0154583768817</v>
      </c>
      <c r="I24" s="260">
        <v>3420.5589533524944</v>
      </c>
      <c r="J24" s="260">
        <v>2998.8666804874019</v>
      </c>
      <c r="K24" s="260">
        <v>2921.7619464787986</v>
      </c>
      <c r="L24" s="260">
        <v>2766.2702642255363</v>
      </c>
      <c r="M24" s="260">
        <v>2357.9865536752013</v>
      </c>
      <c r="N24" s="260">
        <v>2721.5055876556166</v>
      </c>
      <c r="O24" s="260">
        <v>2795.3055520404509</v>
      </c>
      <c r="P24" s="260">
        <v>3267.5992808951305</v>
      </c>
      <c r="Q24" s="260">
        <v>3283.3275834680426</v>
      </c>
      <c r="R24" s="261"/>
      <c r="S24" s="262">
        <f>ROUND(SUM(F24:Q24),0)</f>
        <v>36922</v>
      </c>
      <c r="T24" s="166" t="b">
        <f t="shared" ref="T24:T30" si="4">+S24=D24</f>
        <v>1</v>
      </c>
    </row>
    <row r="25" spans="1:20" x14ac:dyDescent="0.25">
      <c r="A25" s="54" t="s">
        <v>155</v>
      </c>
      <c r="B25" s="48">
        <v>14</v>
      </c>
      <c r="C25" s="56" t="s">
        <v>155</v>
      </c>
      <c r="D25" s="175">
        <v>44982</v>
      </c>
      <c r="F25" s="260">
        <v>3961.8618837678059</v>
      </c>
      <c r="G25" s="260">
        <v>3916.6880990083741</v>
      </c>
      <c r="H25" s="260">
        <v>3947.7447848791644</v>
      </c>
      <c r="I25" s="260">
        <v>4032.1486200466447</v>
      </c>
      <c r="J25" s="260">
        <v>3767.9812007163728</v>
      </c>
      <c r="K25" s="260">
        <v>3647.4562132916781</v>
      </c>
      <c r="L25" s="260">
        <v>3385.2366095242182</v>
      </c>
      <c r="M25" s="260">
        <v>3156.1087140557865</v>
      </c>
      <c r="N25" s="260">
        <v>3853.286675168265</v>
      </c>
      <c r="O25" s="260">
        <v>3690.9905799662356</v>
      </c>
      <c r="P25" s="260">
        <v>3833.8932617685473</v>
      </c>
      <c r="Q25" s="260">
        <v>3787.2522114069434</v>
      </c>
      <c r="R25" s="261"/>
      <c r="S25" s="262">
        <f t="shared" ref="S25:S29" si="5">ROUND(SUM(F25:Q25),0)</f>
        <v>44981</v>
      </c>
      <c r="T25" s="166" t="b">
        <f t="shared" si="4"/>
        <v>0</v>
      </c>
    </row>
    <row r="26" spans="1:20" x14ac:dyDescent="0.25">
      <c r="A26" s="54" t="s">
        <v>156</v>
      </c>
      <c r="B26" s="48">
        <v>15</v>
      </c>
      <c r="C26" s="56" t="s">
        <v>156</v>
      </c>
      <c r="D26" s="175">
        <v>9967</v>
      </c>
      <c r="F26" s="260">
        <v>877.5328649589211</v>
      </c>
      <c r="G26" s="260">
        <v>901.21790582748611</v>
      </c>
      <c r="H26" s="260">
        <v>852.03164609489227</v>
      </c>
      <c r="I26" s="260">
        <v>859.97190953614461</v>
      </c>
      <c r="J26" s="260">
        <v>831.10042815543716</v>
      </c>
      <c r="K26" s="260">
        <v>823.76501149985825</v>
      </c>
      <c r="L26" s="260">
        <v>689.23453390080772</v>
      </c>
      <c r="M26" s="260">
        <v>738.87921218643078</v>
      </c>
      <c r="N26" s="260">
        <v>867.79376986070849</v>
      </c>
      <c r="O26" s="260">
        <v>765.40232676945982</v>
      </c>
      <c r="P26" s="260">
        <v>870.57262595265547</v>
      </c>
      <c r="Q26" s="260">
        <v>889.96356668433896</v>
      </c>
      <c r="R26" s="261"/>
      <c r="S26" s="262">
        <f t="shared" si="5"/>
        <v>9967</v>
      </c>
      <c r="T26" s="166" t="b">
        <f t="shared" si="4"/>
        <v>1</v>
      </c>
    </row>
    <row r="27" spans="1:20" x14ac:dyDescent="0.25">
      <c r="A27" s="54" t="s">
        <v>157</v>
      </c>
      <c r="B27" s="48">
        <v>16</v>
      </c>
      <c r="C27" s="56" t="s">
        <v>157</v>
      </c>
      <c r="D27" s="175">
        <v>1542</v>
      </c>
      <c r="F27" s="260">
        <v>130.28933320232841</v>
      </c>
      <c r="G27" s="260">
        <v>124.72640472714079</v>
      </c>
      <c r="H27" s="260">
        <v>120.38544438186003</v>
      </c>
      <c r="I27" s="260">
        <v>131.37546091131014</v>
      </c>
      <c r="J27" s="260">
        <v>117.85172126154352</v>
      </c>
      <c r="K27" s="260">
        <v>134.32990458896765</v>
      </c>
      <c r="L27" s="260">
        <v>145.31599255870998</v>
      </c>
      <c r="M27" s="260">
        <v>128.84802920544482</v>
      </c>
      <c r="N27" s="260">
        <v>132.76599644136303</v>
      </c>
      <c r="O27" s="260">
        <v>130.60906116924616</v>
      </c>
      <c r="P27" s="260">
        <v>129.11252280041182</v>
      </c>
      <c r="Q27" s="260">
        <v>116.65291898661168</v>
      </c>
      <c r="R27" s="261"/>
      <c r="S27" s="262">
        <f t="shared" si="5"/>
        <v>1542</v>
      </c>
      <c r="T27" s="166" t="b">
        <f t="shared" si="4"/>
        <v>1</v>
      </c>
    </row>
    <row r="28" spans="1:20" x14ac:dyDescent="0.25">
      <c r="A28" s="54" t="s">
        <v>158</v>
      </c>
      <c r="B28" s="48">
        <v>17</v>
      </c>
      <c r="C28" s="56" t="s">
        <v>158</v>
      </c>
      <c r="D28" s="175">
        <v>125</v>
      </c>
      <c r="F28" s="260">
        <v>12.20286798555607</v>
      </c>
      <c r="G28" s="260">
        <v>10.742307616606137</v>
      </c>
      <c r="H28" s="260">
        <v>10.407688068908111</v>
      </c>
      <c r="I28" s="260">
        <v>11.605177210426271</v>
      </c>
      <c r="J28" s="260">
        <v>10.359410125792879</v>
      </c>
      <c r="K28" s="260">
        <v>9.7053328796086635</v>
      </c>
      <c r="L28" s="260">
        <v>10.012612394403378</v>
      </c>
      <c r="M28" s="260">
        <v>8.4775867748620435</v>
      </c>
      <c r="N28" s="260">
        <v>10.09647607990704</v>
      </c>
      <c r="O28" s="260">
        <v>10.161415815314106</v>
      </c>
      <c r="P28" s="260">
        <v>9.9209783690189539</v>
      </c>
      <c r="Q28" s="260">
        <v>11.664124257819259</v>
      </c>
      <c r="R28" s="261"/>
      <c r="S28" s="262">
        <f t="shared" si="5"/>
        <v>125</v>
      </c>
      <c r="T28" s="166" t="b">
        <f t="shared" si="4"/>
        <v>1</v>
      </c>
    </row>
    <row r="29" spans="1:20" x14ac:dyDescent="0.25">
      <c r="A29" s="54" t="s">
        <v>159</v>
      </c>
      <c r="B29" s="48">
        <v>18</v>
      </c>
      <c r="C29" s="56" t="s">
        <v>159</v>
      </c>
      <c r="D29" s="175">
        <v>222</v>
      </c>
      <c r="F29" s="260">
        <v>19.751476252843648</v>
      </c>
      <c r="G29" s="260">
        <v>19.285785400503041</v>
      </c>
      <c r="H29" s="260">
        <v>19.375210447784632</v>
      </c>
      <c r="I29" s="260">
        <v>20.139433009317941</v>
      </c>
      <c r="J29" s="260">
        <v>19.33368628199479</v>
      </c>
      <c r="K29" s="260">
        <v>18.714017355669544</v>
      </c>
      <c r="L29" s="260">
        <v>18.377029042531241</v>
      </c>
      <c r="M29" s="260">
        <v>15.097700560912543</v>
      </c>
      <c r="N29" s="260">
        <v>16.076216036536184</v>
      </c>
      <c r="O29" s="260">
        <v>15.459450671101981</v>
      </c>
      <c r="P29" s="260">
        <v>20.544334404522729</v>
      </c>
      <c r="Q29" s="260">
        <v>19.757062105281683</v>
      </c>
      <c r="R29" s="261"/>
      <c r="S29" s="262">
        <f t="shared" si="5"/>
        <v>222</v>
      </c>
      <c r="T29" s="166" t="b">
        <f t="shared" si="4"/>
        <v>1</v>
      </c>
    </row>
    <row r="30" spans="1:20" x14ac:dyDescent="0.25">
      <c r="A30" s="54" t="s">
        <v>160</v>
      </c>
      <c r="B30" s="48"/>
      <c r="C30" s="55" t="s">
        <v>161</v>
      </c>
      <c r="D30" s="168">
        <f>SUM(D24:D29)</f>
        <v>93760</v>
      </c>
      <c r="F30" s="270">
        <v>8565.7360456903425</v>
      </c>
      <c r="G30" s="270">
        <v>8441.7369929985598</v>
      </c>
      <c r="H30" s="270">
        <v>8305.9602322494902</v>
      </c>
      <c r="I30" s="270">
        <v>8475.7995540663378</v>
      </c>
      <c r="J30" s="270">
        <v>7745.4931270285442</v>
      </c>
      <c r="K30" s="270">
        <v>7555.7324260945816</v>
      </c>
      <c r="L30" s="270">
        <v>7014.4470416462073</v>
      </c>
      <c r="M30" s="270">
        <v>6405.3977964586375</v>
      </c>
      <c r="N30" s="270">
        <v>7601.5247212423965</v>
      </c>
      <c r="O30" s="270">
        <v>7407.9283864318095</v>
      </c>
      <c r="P30" s="270">
        <v>8131.6430041902859</v>
      </c>
      <c r="Q30" s="270">
        <v>8108.6174669090378</v>
      </c>
      <c r="R30" s="261"/>
      <c r="S30" s="265">
        <f>SUM(S24:S29)</f>
        <v>93759</v>
      </c>
      <c r="T30" s="166" t="b">
        <f t="shared" si="4"/>
        <v>0</v>
      </c>
    </row>
    <row r="31" spans="1:20" x14ac:dyDescent="0.25">
      <c r="A31" s="54">
        <v>0</v>
      </c>
      <c r="B31" s="48"/>
      <c r="C31" s="56"/>
      <c r="D31" s="172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1"/>
      <c r="S31" s="261"/>
    </row>
    <row r="32" spans="1:20" x14ac:dyDescent="0.25">
      <c r="A32" s="54" t="s">
        <v>163</v>
      </c>
      <c r="B32" s="48"/>
      <c r="C32" s="55" t="s">
        <v>66</v>
      </c>
      <c r="D32" s="176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1"/>
      <c r="S32" s="261"/>
    </row>
    <row r="33" spans="1:20" x14ac:dyDescent="0.25">
      <c r="A33" s="54" t="s">
        <v>154</v>
      </c>
      <c r="B33" s="48">
        <v>19</v>
      </c>
      <c r="C33" s="56" t="s">
        <v>154</v>
      </c>
      <c r="D33" s="175">
        <v>80133</v>
      </c>
      <c r="F33" s="260">
        <v>7735.2296394718496</v>
      </c>
      <c r="G33" s="260">
        <v>7529.0034547010882</v>
      </c>
      <c r="H33" s="260">
        <v>7283.6249214850795</v>
      </c>
      <c r="I33" s="260">
        <v>7423.7049104942753</v>
      </c>
      <c r="J33" s="260">
        <v>6508.4980570302068</v>
      </c>
      <c r="K33" s="260">
        <v>6341.15616926037</v>
      </c>
      <c r="L33" s="260">
        <v>6003.6895794934553</v>
      </c>
      <c r="M33" s="260">
        <v>5117.5835868115637</v>
      </c>
      <c r="N33" s="260">
        <v>5906.5359406289372</v>
      </c>
      <c r="O33" s="260">
        <v>6066.7054232981454</v>
      </c>
      <c r="P33" s="260">
        <v>7091.7335903051016</v>
      </c>
      <c r="Q33" s="260">
        <v>7125.8690280030323</v>
      </c>
      <c r="R33" s="261"/>
      <c r="S33" s="262">
        <f>ROUND(SUM(F33:Q33),0)</f>
        <v>80133</v>
      </c>
      <c r="T33" s="166" t="b">
        <f t="shared" ref="T33:T39" si="6">+S33=D33</f>
        <v>1</v>
      </c>
    </row>
    <row r="34" spans="1:20" x14ac:dyDescent="0.25">
      <c r="A34" s="54" t="s">
        <v>155</v>
      </c>
      <c r="B34" s="48">
        <v>20</v>
      </c>
      <c r="C34" s="56" t="s">
        <v>155</v>
      </c>
      <c r="D34" s="175">
        <v>97622</v>
      </c>
      <c r="F34" s="260">
        <v>8598.5050754353233</v>
      </c>
      <c r="G34" s="260">
        <v>8500.4635411955696</v>
      </c>
      <c r="H34" s="260">
        <v>8567.8664640940915</v>
      </c>
      <c r="I34" s="260">
        <v>8751.0497315490356</v>
      </c>
      <c r="J34" s="260">
        <v>8177.7220986039383</v>
      </c>
      <c r="K34" s="260">
        <v>7916.1443994080137</v>
      </c>
      <c r="L34" s="260">
        <v>7347.0441480562704</v>
      </c>
      <c r="M34" s="260">
        <v>6849.7634679343619</v>
      </c>
      <c r="N34" s="260">
        <v>8362.8622111460354</v>
      </c>
      <c r="O34" s="260">
        <v>8010.6278730345721</v>
      </c>
      <c r="P34" s="260">
        <v>8320.7723129012975</v>
      </c>
      <c r="Q34" s="260">
        <v>8219.5463438938932</v>
      </c>
      <c r="R34" s="261"/>
      <c r="S34" s="262">
        <f t="shared" ref="S34:S38" si="7">ROUND(SUM(F34:Q34),0)</f>
        <v>97622</v>
      </c>
      <c r="T34" s="166" t="b">
        <f t="shared" si="6"/>
        <v>1</v>
      </c>
    </row>
    <row r="35" spans="1:20" x14ac:dyDescent="0.25">
      <c r="A35" s="54" t="s">
        <v>156</v>
      </c>
      <c r="B35" s="48">
        <v>21</v>
      </c>
      <c r="C35" s="56" t="s">
        <v>156</v>
      </c>
      <c r="D35" s="175">
        <v>21633</v>
      </c>
      <c r="F35" s="260">
        <v>1904.5264611886716</v>
      </c>
      <c r="G35" s="260">
        <v>1955.9305611030707</v>
      </c>
      <c r="H35" s="260">
        <v>1849.1806752261361</v>
      </c>
      <c r="I35" s="260">
        <v>1866.4135817491097</v>
      </c>
      <c r="J35" s="260">
        <v>1803.7532502003337</v>
      </c>
      <c r="K35" s="260">
        <v>1787.8330542939982</v>
      </c>
      <c r="L35" s="260">
        <v>1495.8589702968866</v>
      </c>
      <c r="M35" s="260">
        <v>1603.6037707797652</v>
      </c>
      <c r="N35" s="260">
        <v>1883.3895157097725</v>
      </c>
      <c r="O35" s="260">
        <v>1661.1673966832611</v>
      </c>
      <c r="P35" s="260">
        <v>1889.4205205533303</v>
      </c>
      <c r="Q35" s="260">
        <v>1931.5050523190562</v>
      </c>
      <c r="R35" s="261"/>
      <c r="S35" s="262">
        <f t="shared" si="7"/>
        <v>21633</v>
      </c>
      <c r="T35" s="166" t="b">
        <f t="shared" si="6"/>
        <v>1</v>
      </c>
    </row>
    <row r="36" spans="1:20" x14ac:dyDescent="0.25">
      <c r="A36" s="54" t="s">
        <v>157</v>
      </c>
      <c r="B36" s="48">
        <v>22</v>
      </c>
      <c r="C36" s="56" t="s">
        <v>157</v>
      </c>
      <c r="D36" s="175">
        <v>3347</v>
      </c>
      <c r="F36" s="260">
        <v>282.769446710213</v>
      </c>
      <c r="G36" s="260">
        <v>270.69611600573768</v>
      </c>
      <c r="H36" s="260">
        <v>261.27484624515159</v>
      </c>
      <c r="I36" s="260">
        <v>285.12669057490029</v>
      </c>
      <c r="J36" s="260">
        <v>255.77585820645959</v>
      </c>
      <c r="K36" s="260">
        <v>291.53877653415793</v>
      </c>
      <c r="L36" s="260">
        <v>315.38209463518479</v>
      </c>
      <c r="M36" s="260">
        <v>279.641356914043</v>
      </c>
      <c r="N36" s="260">
        <v>288.14459659068564</v>
      </c>
      <c r="O36" s="260">
        <v>283.46335846861245</v>
      </c>
      <c r="P36" s="260">
        <v>280.21539245224852</v>
      </c>
      <c r="Q36" s="260">
        <v>253.17407456335027</v>
      </c>
      <c r="R36" s="261"/>
      <c r="S36" s="262">
        <f t="shared" si="7"/>
        <v>3347</v>
      </c>
      <c r="T36" s="166" t="b">
        <f t="shared" si="6"/>
        <v>1</v>
      </c>
    </row>
    <row r="37" spans="1:20" x14ac:dyDescent="0.25">
      <c r="A37" s="54" t="s">
        <v>158</v>
      </c>
      <c r="B37" s="48">
        <v>23</v>
      </c>
      <c r="C37" s="56" t="s">
        <v>158</v>
      </c>
      <c r="D37" s="175">
        <v>272</v>
      </c>
      <c r="F37" s="260">
        <v>26.484119181076569</v>
      </c>
      <c r="G37" s="260">
        <v>23.314236910104469</v>
      </c>
      <c r="H37" s="260">
        <v>22.588005667412823</v>
      </c>
      <c r="I37" s="260">
        <v>25.186939391808664</v>
      </c>
      <c r="J37" s="260">
        <v>22.483227118567221</v>
      </c>
      <c r="K37" s="260">
        <v>21.063670686253349</v>
      </c>
      <c r="L37" s="260">
        <v>21.73056532949289</v>
      </c>
      <c r="M37" s="260">
        <v>18.399069692396878</v>
      </c>
      <c r="N37" s="260">
        <v>21.912576299739577</v>
      </c>
      <c r="O37" s="260">
        <v>22.053516256981109</v>
      </c>
      <c r="P37" s="260">
        <v>21.531690241096015</v>
      </c>
      <c r="Q37" s="260">
        <v>25.314873302949579</v>
      </c>
      <c r="R37" s="261"/>
      <c r="S37" s="262">
        <f t="shared" si="7"/>
        <v>272</v>
      </c>
      <c r="T37" s="166" t="b">
        <f t="shared" si="6"/>
        <v>1</v>
      </c>
    </row>
    <row r="38" spans="1:20" x14ac:dyDescent="0.25">
      <c r="A38" s="54" t="s">
        <v>159</v>
      </c>
      <c r="B38" s="48">
        <v>24</v>
      </c>
      <c r="C38" s="56" t="s">
        <v>159</v>
      </c>
      <c r="D38" s="175">
        <v>482</v>
      </c>
      <c r="F38" s="260">
        <v>42.867008944264811</v>
      </c>
      <c r="G38" s="260">
        <v>41.85631112720047</v>
      </c>
      <c r="H38" s="260">
        <v>42.050392027918434</v>
      </c>
      <c r="I38" s="260">
        <v>43.708998957410145</v>
      </c>
      <c r="J38" s="260">
        <v>41.960271331949706</v>
      </c>
      <c r="K38" s="260">
        <v>40.615391938266754</v>
      </c>
      <c r="L38" s="260">
        <v>39.884019718363319</v>
      </c>
      <c r="M38" s="260">
        <v>32.766830018049539</v>
      </c>
      <c r="N38" s="260">
        <v>34.890520982142469</v>
      </c>
      <c r="O38" s="260">
        <v>33.551943242527969</v>
      </c>
      <c r="P38" s="260">
        <v>44.58776424601939</v>
      </c>
      <c r="Q38" s="260">
        <v>42.879132027286936</v>
      </c>
      <c r="R38" s="261"/>
      <c r="S38" s="262">
        <f t="shared" si="7"/>
        <v>482</v>
      </c>
      <c r="T38" s="166" t="b">
        <f t="shared" si="6"/>
        <v>1</v>
      </c>
    </row>
    <row r="39" spans="1:20" x14ac:dyDescent="0.25">
      <c r="A39" s="54" t="s">
        <v>160</v>
      </c>
      <c r="B39" s="48"/>
      <c r="C39" s="55" t="s">
        <v>161</v>
      </c>
      <c r="D39" s="168">
        <f>SUM(D33:D38)</f>
        <v>203489</v>
      </c>
      <c r="F39" s="270">
        <v>18590.381750931396</v>
      </c>
      <c r="G39" s="270">
        <v>18321.264221042769</v>
      </c>
      <c r="H39" s="270">
        <v>18026.585304745786</v>
      </c>
      <c r="I39" s="270">
        <v>18395.19085271654</v>
      </c>
      <c r="J39" s="270">
        <v>16810.192762491453</v>
      </c>
      <c r="K39" s="270">
        <v>16398.35146212106</v>
      </c>
      <c r="L39" s="270">
        <v>15223.589377529654</v>
      </c>
      <c r="M39" s="270">
        <v>13901.75808215018</v>
      </c>
      <c r="N39" s="270">
        <v>16497.735361357314</v>
      </c>
      <c r="O39" s="270">
        <v>16077.569510984102</v>
      </c>
      <c r="P39" s="270">
        <v>17648.261270699095</v>
      </c>
      <c r="Q39" s="270">
        <v>17598.288504109572</v>
      </c>
      <c r="R39" s="261"/>
      <c r="S39" s="265">
        <f>SUM(S33:S38)</f>
        <v>203489</v>
      </c>
      <c r="T39" s="166" t="b">
        <f t="shared" si="6"/>
        <v>1</v>
      </c>
    </row>
    <row r="40" spans="1:20" x14ac:dyDescent="0.25">
      <c r="A40" s="54"/>
      <c r="B40" s="48"/>
      <c r="C40" s="55"/>
      <c r="D40" s="220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1"/>
      <c r="S40" s="271"/>
      <c r="T40" s="166"/>
    </row>
    <row r="41" spans="1:20" x14ac:dyDescent="0.25">
      <c r="A41" s="54"/>
      <c r="B41" s="48"/>
      <c r="C41" s="55" t="s">
        <v>68</v>
      </c>
      <c r="D41" s="220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61"/>
      <c r="S41" s="271"/>
      <c r="T41" s="166"/>
    </row>
    <row r="42" spans="1:20" x14ac:dyDescent="0.25">
      <c r="A42" s="54"/>
      <c r="B42" s="48">
        <v>25</v>
      </c>
      <c r="C42" s="56" t="s">
        <v>180</v>
      </c>
      <c r="D42" s="175">
        <v>5413</v>
      </c>
      <c r="F42" s="260">
        <v>522.50550951222476</v>
      </c>
      <c r="G42" s="269">
        <v>508.57517741212098</v>
      </c>
      <c r="H42" s="269">
        <v>492.00015100732668</v>
      </c>
      <c r="I42" s="269">
        <v>501.46238670569886</v>
      </c>
      <c r="J42" s="269">
        <v>439.6412584953444</v>
      </c>
      <c r="K42" s="269">
        <v>428.33751414550164</v>
      </c>
      <c r="L42" s="269">
        <v>405.54204967347931</v>
      </c>
      <c r="M42" s="269">
        <v>345.68664979944276</v>
      </c>
      <c r="N42" s="269">
        <v>398.97943758025417</v>
      </c>
      <c r="O42" s="269">
        <v>409.79869454495088</v>
      </c>
      <c r="P42" s="269">
        <v>479.0381211203873</v>
      </c>
      <c r="Q42" s="269">
        <v>481.34392910516465</v>
      </c>
      <c r="R42" s="261"/>
      <c r="S42" s="262">
        <f>ROUND(SUM(F42:Q42),0)</f>
        <v>5413</v>
      </c>
      <c r="T42" s="166" t="b">
        <f t="shared" ref="T42:T48" si="8">+S42=D42</f>
        <v>1</v>
      </c>
    </row>
    <row r="43" spans="1:20" x14ac:dyDescent="0.25">
      <c r="A43" s="54"/>
      <c r="B43" s="48">
        <v>26</v>
      </c>
      <c r="C43" s="56" t="s">
        <v>181</v>
      </c>
      <c r="D43" s="175">
        <v>6594</v>
      </c>
      <c r="F43" s="260">
        <v>580.81873258911344</v>
      </c>
      <c r="G43" s="269">
        <v>574.19614422536313</v>
      </c>
      <c r="H43" s="269">
        <v>578.74913104193934</v>
      </c>
      <c r="I43" s="269">
        <v>591.12294164055982</v>
      </c>
      <c r="J43" s="269">
        <v>552.39534583128159</v>
      </c>
      <c r="K43" s="269">
        <v>534.72608514146759</v>
      </c>
      <c r="L43" s="269">
        <v>496.28404390216184</v>
      </c>
      <c r="M43" s="269">
        <v>462.6933287911591</v>
      </c>
      <c r="N43" s="269">
        <v>564.9013389748236</v>
      </c>
      <c r="O43" s="269">
        <v>541.10833076683491</v>
      </c>
      <c r="P43" s="269">
        <v>562.05821669498073</v>
      </c>
      <c r="Q43" s="269">
        <v>555.2205235717945</v>
      </c>
      <c r="R43" s="261"/>
      <c r="S43" s="262">
        <f t="shared" ref="S43:S47" si="9">ROUND(SUM(F43:Q43),0)</f>
        <v>6594</v>
      </c>
      <c r="T43" s="166" t="b">
        <f t="shared" si="8"/>
        <v>1</v>
      </c>
    </row>
    <row r="44" spans="1:20" x14ac:dyDescent="0.25">
      <c r="A44" s="54"/>
      <c r="B44" s="48">
        <v>27</v>
      </c>
      <c r="C44" s="56" t="s">
        <v>182</v>
      </c>
      <c r="D44" s="175">
        <v>1461</v>
      </c>
      <c r="F44" s="260">
        <v>128.64848431970367</v>
      </c>
      <c r="G44" s="269">
        <v>132.12076978098236</v>
      </c>
      <c r="H44" s="269">
        <v>124.90994268079201</v>
      </c>
      <c r="I44" s="269">
        <v>126.07400490296769</v>
      </c>
      <c r="J44" s="269">
        <v>121.84137445913076</v>
      </c>
      <c r="K44" s="269">
        <v>120.76598426888657</v>
      </c>
      <c r="L44" s="269">
        <v>101.04348414493521</v>
      </c>
      <c r="M44" s="269">
        <v>108.32151653667211</v>
      </c>
      <c r="N44" s="269">
        <v>127.22070893594164</v>
      </c>
      <c r="O44" s="269">
        <v>112.20987061068649</v>
      </c>
      <c r="P44" s="269">
        <v>127.62809609902901</v>
      </c>
      <c r="Q44" s="269">
        <v>130.470855879634</v>
      </c>
      <c r="R44" s="261"/>
      <c r="S44" s="262">
        <f t="shared" si="9"/>
        <v>1461</v>
      </c>
      <c r="T44" s="166" t="b">
        <f t="shared" si="8"/>
        <v>1</v>
      </c>
    </row>
    <row r="45" spans="1:20" x14ac:dyDescent="0.25">
      <c r="A45" s="54"/>
      <c r="B45" s="48">
        <v>28</v>
      </c>
      <c r="C45" s="56" t="s">
        <v>183</v>
      </c>
      <c r="D45" s="175">
        <v>226</v>
      </c>
      <c r="F45" s="260">
        <v>19.100737885513873</v>
      </c>
      <c r="G45" s="269">
        <v>18.285198838158291</v>
      </c>
      <c r="H45" s="269">
        <v>17.648803335252033</v>
      </c>
      <c r="I45" s="269">
        <v>19.259966888913841</v>
      </c>
      <c r="J45" s="269">
        <v>17.277353270951856</v>
      </c>
      <c r="K45" s="269">
        <v>19.693095625529722</v>
      </c>
      <c r="L45" s="269">
        <v>21.303683242640158</v>
      </c>
      <c r="M45" s="269">
        <v>18.889439161503475</v>
      </c>
      <c r="N45" s="269">
        <v>19.463822830357561</v>
      </c>
      <c r="O45" s="269">
        <v>19.147610794758723</v>
      </c>
      <c r="P45" s="269">
        <v>18.928214575466317</v>
      </c>
      <c r="Q45" s="269">
        <v>17.101605898030144</v>
      </c>
      <c r="R45" s="261"/>
      <c r="S45" s="262">
        <f t="shared" si="9"/>
        <v>226</v>
      </c>
      <c r="T45" s="166" t="b">
        <f t="shared" si="8"/>
        <v>1</v>
      </c>
    </row>
    <row r="46" spans="1:20" x14ac:dyDescent="0.25">
      <c r="A46" s="54"/>
      <c r="B46" s="48">
        <v>29</v>
      </c>
      <c r="C46" s="56" t="s">
        <v>184</v>
      </c>
      <c r="D46" s="175">
        <v>18</v>
      </c>
      <c r="F46" s="260">
        <v>1.7889705712260848</v>
      </c>
      <c r="G46" s="269">
        <v>1.5748488155336278</v>
      </c>
      <c r="H46" s="269">
        <v>1.5257927637843738</v>
      </c>
      <c r="I46" s="269">
        <v>1.7013476281059805</v>
      </c>
      <c r="J46" s="269">
        <v>1.5187150981425994</v>
      </c>
      <c r="K46" s="269">
        <v>1.4228257591677635</v>
      </c>
      <c r="L46" s="269">
        <v>1.4678736946005688</v>
      </c>
      <c r="M46" s="269">
        <v>1.2428351493431768</v>
      </c>
      <c r="N46" s="269">
        <v>1.4801683179250358</v>
      </c>
      <c r="O46" s="269">
        <v>1.4896886434488357</v>
      </c>
      <c r="P46" s="269">
        <v>1.4544399202673748</v>
      </c>
      <c r="Q46" s="269">
        <v>1.7099894107731</v>
      </c>
      <c r="R46" s="261"/>
      <c r="S46" s="262">
        <f t="shared" si="9"/>
        <v>18</v>
      </c>
      <c r="T46" s="166" t="b">
        <f t="shared" si="8"/>
        <v>1</v>
      </c>
    </row>
    <row r="47" spans="1:20" x14ac:dyDescent="0.25">
      <c r="A47" s="54"/>
      <c r="B47" s="48">
        <v>30</v>
      </c>
      <c r="C47" s="56" t="s">
        <v>185</v>
      </c>
      <c r="D47" s="175">
        <v>33</v>
      </c>
      <c r="F47" s="260">
        <v>2.8956151780411141</v>
      </c>
      <c r="G47" s="269">
        <v>2.8273437494627953</v>
      </c>
      <c r="H47" s="269">
        <v>2.8404536821529329</v>
      </c>
      <c r="I47" s="269">
        <v>2.952490596267578</v>
      </c>
      <c r="J47" s="269">
        <v>2.8343661369397362</v>
      </c>
      <c r="K47" s="269">
        <v>2.7435211425981363</v>
      </c>
      <c r="L47" s="269">
        <v>2.6941178239876979</v>
      </c>
      <c r="M47" s="269">
        <v>2.2133601730860084</v>
      </c>
      <c r="N47" s="269">
        <v>2.3568129574193315</v>
      </c>
      <c r="O47" s="269">
        <v>2.2663936322722185</v>
      </c>
      <c r="P47" s="269">
        <v>3.0118501403622231</v>
      </c>
      <c r="Q47" s="269">
        <v>2.8964340777980144</v>
      </c>
      <c r="R47" s="261"/>
      <c r="S47" s="262">
        <f t="shared" si="9"/>
        <v>33</v>
      </c>
      <c r="T47" s="166" t="b">
        <f t="shared" si="8"/>
        <v>1</v>
      </c>
    </row>
    <row r="48" spans="1:20" x14ac:dyDescent="0.25">
      <c r="A48" s="54"/>
      <c r="B48" s="48"/>
      <c r="C48" s="221" t="s">
        <v>143</v>
      </c>
      <c r="D48" s="168">
        <f>SUM(D42:D47)</f>
        <v>13745</v>
      </c>
      <c r="F48" s="270">
        <v>1255.7580500558229</v>
      </c>
      <c r="G48" s="270">
        <v>1237.579482821621</v>
      </c>
      <c r="H48" s="270">
        <v>1217.6742745112474</v>
      </c>
      <c r="I48" s="270">
        <v>1242.5731383625139</v>
      </c>
      <c r="J48" s="270">
        <v>1135.5084132917907</v>
      </c>
      <c r="K48" s="270">
        <v>1107.6890260831512</v>
      </c>
      <c r="L48" s="270">
        <v>1028.3352524818047</v>
      </c>
      <c r="M48" s="270">
        <v>939.04712961120663</v>
      </c>
      <c r="N48" s="270">
        <v>1114.4022895967216</v>
      </c>
      <c r="O48" s="270">
        <v>1086.0205889929521</v>
      </c>
      <c r="P48" s="270">
        <v>1192.1189385504929</v>
      </c>
      <c r="Q48" s="270">
        <v>1188.7433379431943</v>
      </c>
      <c r="R48" s="261"/>
      <c r="S48" s="265">
        <f>SUM(S42:S47)</f>
        <v>13745</v>
      </c>
      <c r="T48" s="77" t="b">
        <f t="shared" si="8"/>
        <v>1</v>
      </c>
    </row>
    <row r="49" spans="1:20" x14ac:dyDescent="0.25">
      <c r="A49" s="54"/>
      <c r="B49" s="48"/>
      <c r="C49" s="57"/>
      <c r="D49" s="172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68"/>
      <c r="S49" s="273"/>
    </row>
    <row r="50" spans="1:20" s="173" customFormat="1" x14ac:dyDescent="0.25">
      <c r="A50" s="47" t="s">
        <v>24</v>
      </c>
      <c r="B50" s="48"/>
      <c r="C50" s="53" t="s">
        <v>24</v>
      </c>
      <c r="D50" s="168">
        <f>SUM(D48,D39,D30,D21,D12)</f>
        <v>3982262</v>
      </c>
      <c r="F50" s="174">
        <f>+F12+F21+F30+F39+F48</f>
        <v>358650.51326922653</v>
      </c>
      <c r="G50" s="174">
        <f t="shared" ref="G50:S50" si="10">+G12+G21+G30+G39+G48</f>
        <v>353752.97861319914</v>
      </c>
      <c r="H50" s="174">
        <f t="shared" si="10"/>
        <v>348622.43452937331</v>
      </c>
      <c r="I50" s="174">
        <f t="shared" si="10"/>
        <v>356790.58853533008</v>
      </c>
      <c r="J50" s="174">
        <f t="shared" si="10"/>
        <v>328351.84777066211</v>
      </c>
      <c r="K50" s="174">
        <f>+K12+K21+K30+K39+K48</f>
        <v>320807.08879702422</v>
      </c>
      <c r="L50" s="174">
        <f>+L12+L21+L30+L39+L48</f>
        <v>309819.92184349988</v>
      </c>
      <c r="M50" s="174">
        <f t="shared" si="10"/>
        <v>285226.40503021836</v>
      </c>
      <c r="N50" s="174">
        <f t="shared" si="10"/>
        <v>333106.50454506977</v>
      </c>
      <c r="O50" s="174">
        <f t="shared" si="10"/>
        <v>310945.4178018191</v>
      </c>
      <c r="P50" s="174">
        <f t="shared" si="10"/>
        <v>338501.21479208977</v>
      </c>
      <c r="Q50" s="174">
        <f t="shared" si="10"/>
        <v>337688.18369930168</v>
      </c>
      <c r="S50" s="174">
        <f t="shared" si="10"/>
        <v>3982262</v>
      </c>
      <c r="T50" s="166" t="b">
        <f t="shared" ref="T50:T55" si="11">+S50=D50</f>
        <v>1</v>
      </c>
    </row>
    <row r="51" spans="1:20" s="173" customFormat="1" x14ac:dyDescent="0.25">
      <c r="A51" s="47"/>
      <c r="B51" s="48">
        <v>31</v>
      </c>
      <c r="C51" s="57" t="s">
        <v>194</v>
      </c>
      <c r="D51" s="172">
        <v>156783</v>
      </c>
      <c r="F51" s="169">
        <f t="shared" ref="F51:K51" si="12">$D$51/6</f>
        <v>26130.5</v>
      </c>
      <c r="G51" s="169">
        <f t="shared" si="12"/>
        <v>26130.5</v>
      </c>
      <c r="H51" s="169">
        <f t="shared" si="12"/>
        <v>26130.5</v>
      </c>
      <c r="I51" s="169">
        <f t="shared" si="12"/>
        <v>26130.5</v>
      </c>
      <c r="J51" s="169">
        <f t="shared" si="12"/>
        <v>26130.5</v>
      </c>
      <c r="K51" s="169">
        <f t="shared" si="12"/>
        <v>26130.5</v>
      </c>
      <c r="L51" s="169">
        <v>0</v>
      </c>
      <c r="M51" s="169">
        <v>0</v>
      </c>
      <c r="N51" s="169">
        <v>0</v>
      </c>
      <c r="O51" s="169">
        <v>0</v>
      </c>
      <c r="P51" s="169">
        <v>0</v>
      </c>
      <c r="Q51" s="169">
        <v>0</v>
      </c>
      <c r="S51" s="169">
        <f t="shared" ref="S51:S53" si="13">ROUND(SUM(F51:Q51),0)</f>
        <v>156783</v>
      </c>
      <c r="T51" s="166" t="b">
        <f t="shared" si="11"/>
        <v>1</v>
      </c>
    </row>
    <row r="52" spans="1:20" x14ac:dyDescent="0.25">
      <c r="A52" s="54" t="s">
        <v>25</v>
      </c>
      <c r="B52" s="48">
        <v>32</v>
      </c>
      <c r="C52" s="57" t="s">
        <v>25</v>
      </c>
      <c r="D52" s="172">
        <v>89655</v>
      </c>
      <c r="F52" s="169">
        <f>$D52/12</f>
        <v>7471.25</v>
      </c>
      <c r="G52" s="169">
        <f t="shared" ref="G52:Q53" si="14">$D52/12</f>
        <v>7471.25</v>
      </c>
      <c r="H52" s="169">
        <f t="shared" si="14"/>
        <v>7471.25</v>
      </c>
      <c r="I52" s="169">
        <f t="shared" si="14"/>
        <v>7471.25</v>
      </c>
      <c r="J52" s="169">
        <f t="shared" si="14"/>
        <v>7471.25</v>
      </c>
      <c r="K52" s="169">
        <f t="shared" si="14"/>
        <v>7471.25</v>
      </c>
      <c r="L52" s="169">
        <f>$D52/12</f>
        <v>7471.25</v>
      </c>
      <c r="M52" s="169">
        <f t="shared" si="14"/>
        <v>7471.25</v>
      </c>
      <c r="N52" s="169">
        <f t="shared" si="14"/>
        <v>7471.25</v>
      </c>
      <c r="O52" s="169">
        <f t="shared" si="14"/>
        <v>7471.25</v>
      </c>
      <c r="P52" s="169">
        <f t="shared" si="14"/>
        <v>7471.25</v>
      </c>
      <c r="Q52" s="169">
        <f t="shared" si="14"/>
        <v>7471.25</v>
      </c>
      <c r="S52" s="169">
        <f t="shared" si="13"/>
        <v>89655</v>
      </c>
      <c r="T52" s="166" t="b">
        <f t="shared" si="11"/>
        <v>1</v>
      </c>
    </row>
    <row r="53" spans="1:20" x14ac:dyDescent="0.25">
      <c r="A53" s="54"/>
      <c r="B53" s="48">
        <v>33</v>
      </c>
      <c r="C53" s="57" t="s">
        <v>195</v>
      </c>
      <c r="D53" s="172">
        <v>74741</v>
      </c>
      <c r="F53" s="169">
        <f>$D53/12</f>
        <v>6228.416666666667</v>
      </c>
      <c r="G53" s="169">
        <f t="shared" si="14"/>
        <v>6228.416666666667</v>
      </c>
      <c r="H53" s="169">
        <f t="shared" si="14"/>
        <v>6228.416666666667</v>
      </c>
      <c r="I53" s="169">
        <f t="shared" si="14"/>
        <v>6228.416666666667</v>
      </c>
      <c r="J53" s="169">
        <f t="shared" si="14"/>
        <v>6228.416666666667</v>
      </c>
      <c r="K53" s="169">
        <f t="shared" si="14"/>
        <v>6228.416666666667</v>
      </c>
      <c r="L53" s="169">
        <f>$D53/12</f>
        <v>6228.416666666667</v>
      </c>
      <c r="M53" s="169">
        <f t="shared" si="14"/>
        <v>6228.416666666667</v>
      </c>
      <c r="N53" s="169">
        <f t="shared" si="14"/>
        <v>6228.416666666667</v>
      </c>
      <c r="O53" s="169">
        <f t="shared" si="14"/>
        <v>6228.416666666667</v>
      </c>
      <c r="P53" s="169">
        <f t="shared" si="14"/>
        <v>6228.416666666667</v>
      </c>
      <c r="Q53" s="169">
        <f t="shared" si="14"/>
        <v>6228.416666666667</v>
      </c>
      <c r="S53" s="169">
        <f t="shared" si="13"/>
        <v>74741</v>
      </c>
      <c r="T53" s="166" t="b">
        <f t="shared" si="11"/>
        <v>1</v>
      </c>
    </row>
    <row r="54" spans="1:20" x14ac:dyDescent="0.25">
      <c r="A54" s="47" t="s">
        <v>26</v>
      </c>
      <c r="C54" s="53" t="s">
        <v>26</v>
      </c>
      <c r="D54" s="168">
        <f>SUM(D50:D53)</f>
        <v>4303441</v>
      </c>
      <c r="F54" s="171">
        <f>SUM(F50:F53)</f>
        <v>398480.67993589322</v>
      </c>
      <c r="G54" s="171">
        <f t="shared" ref="G54:Q54" si="15">SUM(G50:G53)</f>
        <v>393583.14527986583</v>
      </c>
      <c r="H54" s="171">
        <f t="shared" si="15"/>
        <v>388452.60119603999</v>
      </c>
      <c r="I54" s="171">
        <f t="shared" si="15"/>
        <v>396620.75520199677</v>
      </c>
      <c r="J54" s="171">
        <f t="shared" si="15"/>
        <v>368182.01443732879</v>
      </c>
      <c r="K54" s="171">
        <f>SUM(K50:K53)</f>
        <v>360637.2554636909</v>
      </c>
      <c r="L54" s="171">
        <f>SUM(L50:L53)</f>
        <v>323519.58851016656</v>
      </c>
      <c r="M54" s="171">
        <f t="shared" si="15"/>
        <v>298926.07169688505</v>
      </c>
      <c r="N54" s="171">
        <f t="shared" si="15"/>
        <v>346806.17121173645</v>
      </c>
      <c r="O54" s="171">
        <f t="shared" si="15"/>
        <v>324645.08446848579</v>
      </c>
      <c r="P54" s="171">
        <f t="shared" si="15"/>
        <v>352200.88145875646</v>
      </c>
      <c r="Q54" s="171">
        <f t="shared" si="15"/>
        <v>351387.85036596836</v>
      </c>
      <c r="S54" s="171">
        <f>SUM(S50:S53)</f>
        <v>4303441</v>
      </c>
      <c r="T54" s="166" t="b">
        <f t="shared" si="11"/>
        <v>1</v>
      </c>
    </row>
    <row r="55" spans="1:20" x14ac:dyDescent="0.25">
      <c r="A55" s="54" t="s">
        <v>27</v>
      </c>
      <c r="B55" s="48">
        <v>34</v>
      </c>
      <c r="C55" s="57" t="s">
        <v>27</v>
      </c>
      <c r="D55" s="170">
        <v>-59529</v>
      </c>
      <c r="F55" s="169">
        <f>$D$55/12</f>
        <v>-4960.75</v>
      </c>
      <c r="G55" s="169">
        <f t="shared" ref="G55:Q55" si="16">$D$55/12</f>
        <v>-4960.75</v>
      </c>
      <c r="H55" s="169">
        <f t="shared" si="16"/>
        <v>-4960.75</v>
      </c>
      <c r="I55" s="169">
        <f t="shared" si="16"/>
        <v>-4960.75</v>
      </c>
      <c r="J55" s="169">
        <f t="shared" si="16"/>
        <v>-4960.75</v>
      </c>
      <c r="K55" s="169">
        <f t="shared" si="16"/>
        <v>-4960.75</v>
      </c>
      <c r="L55" s="169">
        <f>$D$55/12</f>
        <v>-4960.75</v>
      </c>
      <c r="M55" s="169">
        <f t="shared" si="16"/>
        <v>-4960.75</v>
      </c>
      <c r="N55" s="169">
        <f>$D$55/12</f>
        <v>-4960.75</v>
      </c>
      <c r="O55" s="169">
        <f t="shared" si="16"/>
        <v>-4960.75</v>
      </c>
      <c r="P55" s="169">
        <f t="shared" si="16"/>
        <v>-4960.75</v>
      </c>
      <c r="Q55" s="169">
        <f t="shared" si="16"/>
        <v>-4960.75</v>
      </c>
      <c r="S55" s="169">
        <f>ROUND(SUM(F55:Q55),0)</f>
        <v>-59529</v>
      </c>
      <c r="T55" s="166" t="b">
        <f t="shared" si="11"/>
        <v>1</v>
      </c>
    </row>
    <row r="56" spans="1:20" x14ac:dyDescent="0.25">
      <c r="A56" s="54" t="s">
        <v>28</v>
      </c>
      <c r="B56" s="48">
        <v>35</v>
      </c>
      <c r="C56" s="57" t="s">
        <v>101</v>
      </c>
      <c r="D56" s="170">
        <v>-27450</v>
      </c>
      <c r="F56" s="169">
        <f>$D$56/12</f>
        <v>-2287.5</v>
      </c>
      <c r="G56" s="169">
        <f t="shared" ref="G56:Q56" si="17">$D$56/12</f>
        <v>-2287.5</v>
      </c>
      <c r="H56" s="169">
        <f t="shared" si="17"/>
        <v>-2287.5</v>
      </c>
      <c r="I56" s="169">
        <f t="shared" si="17"/>
        <v>-2287.5</v>
      </c>
      <c r="J56" s="169">
        <f t="shared" si="17"/>
        <v>-2287.5</v>
      </c>
      <c r="K56" s="169">
        <f t="shared" si="17"/>
        <v>-2287.5</v>
      </c>
      <c r="L56" s="169">
        <f>$D$56/12</f>
        <v>-2287.5</v>
      </c>
      <c r="M56" s="169">
        <f t="shared" si="17"/>
        <v>-2287.5</v>
      </c>
      <c r="N56" s="169">
        <f>$D$56/12</f>
        <v>-2287.5</v>
      </c>
      <c r="O56" s="169">
        <f t="shared" si="17"/>
        <v>-2287.5</v>
      </c>
      <c r="P56" s="169">
        <f t="shared" si="17"/>
        <v>-2287.5</v>
      </c>
      <c r="Q56" s="169">
        <f t="shared" si="17"/>
        <v>-2287.5</v>
      </c>
      <c r="S56" s="169">
        <f t="shared" ref="S56:S60" si="18">ROUND(SUM(F56:Q56),0)</f>
        <v>-27450</v>
      </c>
      <c r="T56" s="166" t="b">
        <f>+S56=D56</f>
        <v>1</v>
      </c>
    </row>
    <row r="57" spans="1:20" x14ac:dyDescent="0.25">
      <c r="A57" s="58" t="s">
        <v>29</v>
      </c>
      <c r="B57" s="48">
        <v>36</v>
      </c>
      <c r="C57" s="57" t="s">
        <v>102</v>
      </c>
      <c r="D57" s="170">
        <v>-28968</v>
      </c>
      <c r="F57" s="169">
        <f>$D$57/12</f>
        <v>-2414</v>
      </c>
      <c r="G57" s="169">
        <f t="shared" ref="G57:Q57" si="19">$D$57/12</f>
        <v>-2414</v>
      </c>
      <c r="H57" s="169">
        <f t="shared" si="19"/>
        <v>-2414</v>
      </c>
      <c r="I57" s="169">
        <f t="shared" si="19"/>
        <v>-2414</v>
      </c>
      <c r="J57" s="169">
        <f t="shared" si="19"/>
        <v>-2414</v>
      </c>
      <c r="K57" s="169">
        <f t="shared" si="19"/>
        <v>-2414</v>
      </c>
      <c r="L57" s="169">
        <f>$D$57/12</f>
        <v>-2414</v>
      </c>
      <c r="M57" s="169">
        <f t="shared" si="19"/>
        <v>-2414</v>
      </c>
      <c r="N57" s="169">
        <f>$D$57/12</f>
        <v>-2414</v>
      </c>
      <c r="O57" s="169">
        <f t="shared" si="19"/>
        <v>-2414</v>
      </c>
      <c r="P57" s="169">
        <f t="shared" si="19"/>
        <v>-2414</v>
      </c>
      <c r="Q57" s="169">
        <f t="shared" si="19"/>
        <v>-2414</v>
      </c>
      <c r="S57" s="169">
        <f t="shared" si="18"/>
        <v>-28968</v>
      </c>
      <c r="T57" s="166" t="b">
        <f t="shared" ref="T57:T60" si="20">+S57=D57</f>
        <v>1</v>
      </c>
    </row>
    <row r="58" spans="1:20" x14ac:dyDescent="0.25">
      <c r="B58" s="48">
        <v>37</v>
      </c>
      <c r="C58" s="57" t="s">
        <v>196</v>
      </c>
      <c r="D58" s="170">
        <v>-24325</v>
      </c>
      <c r="F58" s="169">
        <f>$D$58/12</f>
        <v>-2027.0833333333333</v>
      </c>
      <c r="G58" s="169">
        <f t="shared" ref="G58:Q58" si="21">$D$58/12</f>
        <v>-2027.0833333333333</v>
      </c>
      <c r="H58" s="169">
        <f t="shared" si="21"/>
        <v>-2027.0833333333333</v>
      </c>
      <c r="I58" s="169">
        <f t="shared" si="21"/>
        <v>-2027.0833333333333</v>
      </c>
      <c r="J58" s="169">
        <f t="shared" si="21"/>
        <v>-2027.0833333333333</v>
      </c>
      <c r="K58" s="169">
        <f t="shared" si="21"/>
        <v>-2027.0833333333333</v>
      </c>
      <c r="L58" s="169">
        <f>$D$58/12</f>
        <v>-2027.0833333333333</v>
      </c>
      <c r="M58" s="169">
        <f t="shared" si="21"/>
        <v>-2027.0833333333333</v>
      </c>
      <c r="N58" s="169">
        <f t="shared" si="21"/>
        <v>-2027.0833333333333</v>
      </c>
      <c r="O58" s="169">
        <f t="shared" si="21"/>
        <v>-2027.0833333333333</v>
      </c>
      <c r="P58" s="169">
        <f t="shared" si="21"/>
        <v>-2027.0833333333333</v>
      </c>
      <c r="Q58" s="169">
        <f t="shared" si="21"/>
        <v>-2027.0833333333333</v>
      </c>
      <c r="S58" s="169">
        <f t="shared" si="18"/>
        <v>-24325</v>
      </c>
      <c r="T58" s="166" t="b">
        <f t="shared" si="20"/>
        <v>1</v>
      </c>
    </row>
    <row r="59" spans="1:20" x14ac:dyDescent="0.25">
      <c r="B59" s="48">
        <v>38</v>
      </c>
      <c r="C59" s="57" t="s">
        <v>197</v>
      </c>
      <c r="D59" s="170">
        <v>-134736</v>
      </c>
      <c r="F59" s="169">
        <f>$D$59/12</f>
        <v>-11228</v>
      </c>
      <c r="G59" s="169">
        <f t="shared" ref="G59:Q59" si="22">$D$59/12</f>
        <v>-11228</v>
      </c>
      <c r="H59" s="169">
        <f t="shared" si="22"/>
        <v>-11228</v>
      </c>
      <c r="I59" s="169">
        <f t="shared" si="22"/>
        <v>-11228</v>
      </c>
      <c r="J59" s="169">
        <f t="shared" si="22"/>
        <v>-11228</v>
      </c>
      <c r="K59" s="169">
        <f t="shared" si="22"/>
        <v>-11228</v>
      </c>
      <c r="L59" s="169">
        <f>$D$59/12</f>
        <v>-11228</v>
      </c>
      <c r="M59" s="169">
        <f t="shared" si="22"/>
        <v>-11228</v>
      </c>
      <c r="N59" s="169">
        <f t="shared" si="22"/>
        <v>-11228</v>
      </c>
      <c r="O59" s="169">
        <f t="shared" si="22"/>
        <v>-11228</v>
      </c>
      <c r="P59" s="169">
        <f t="shared" si="22"/>
        <v>-11228</v>
      </c>
      <c r="Q59" s="169">
        <f t="shared" si="22"/>
        <v>-11228</v>
      </c>
      <c r="S59" s="169">
        <f t="shared" si="18"/>
        <v>-134736</v>
      </c>
      <c r="T59" s="166" t="b">
        <f t="shared" si="20"/>
        <v>1</v>
      </c>
    </row>
    <row r="60" spans="1:20" x14ac:dyDescent="0.25">
      <c r="B60" s="48">
        <v>39</v>
      </c>
      <c r="C60" s="57" t="s">
        <v>28</v>
      </c>
      <c r="D60" s="170">
        <v>-310994</v>
      </c>
      <c r="F60" s="169">
        <f>$D$60/12</f>
        <v>-25916.166666666668</v>
      </c>
      <c r="G60" s="169">
        <f t="shared" ref="G60:Q60" si="23">$D$60/12</f>
        <v>-25916.166666666668</v>
      </c>
      <c r="H60" s="169">
        <f t="shared" si="23"/>
        <v>-25916.166666666668</v>
      </c>
      <c r="I60" s="169">
        <f t="shared" si="23"/>
        <v>-25916.166666666668</v>
      </c>
      <c r="J60" s="169">
        <f t="shared" si="23"/>
        <v>-25916.166666666668</v>
      </c>
      <c r="K60" s="169">
        <f t="shared" si="23"/>
        <v>-25916.166666666668</v>
      </c>
      <c r="L60" s="169">
        <f>$D$60/12</f>
        <v>-25916.166666666668</v>
      </c>
      <c r="M60" s="169">
        <f t="shared" si="23"/>
        <v>-25916.166666666668</v>
      </c>
      <c r="N60" s="169">
        <f t="shared" si="23"/>
        <v>-25916.166666666668</v>
      </c>
      <c r="O60" s="169">
        <f t="shared" si="23"/>
        <v>-25916.166666666668</v>
      </c>
      <c r="P60" s="169">
        <f t="shared" si="23"/>
        <v>-25916.166666666668</v>
      </c>
      <c r="Q60" s="169">
        <f t="shared" si="23"/>
        <v>-25916.166666666668</v>
      </c>
      <c r="S60" s="169">
        <f t="shared" si="18"/>
        <v>-310994</v>
      </c>
      <c r="T60" s="166" t="b">
        <f t="shared" si="20"/>
        <v>1</v>
      </c>
    </row>
    <row r="61" spans="1:20" ht="15.75" thickBot="1" x14ac:dyDescent="0.3">
      <c r="C61" s="53" t="s">
        <v>29</v>
      </c>
      <c r="D61" s="168">
        <f>SUM(D54:D60)</f>
        <v>3717439</v>
      </c>
      <c r="F61" s="274">
        <f>+SUM(F54:F60)</f>
        <v>349647.17993589322</v>
      </c>
      <c r="G61" s="274">
        <f t="shared" ref="G61:Q61" si="24">+SUM(G54:G60)</f>
        <v>344749.64527986583</v>
      </c>
      <c r="H61" s="274">
        <f t="shared" si="24"/>
        <v>339619.10119603999</v>
      </c>
      <c r="I61" s="274">
        <f t="shared" si="24"/>
        <v>347787.25520199677</v>
      </c>
      <c r="J61" s="274">
        <f t="shared" si="24"/>
        <v>319348.51443732879</v>
      </c>
      <c r="K61" s="274">
        <f t="shared" si="24"/>
        <v>311803.7554636909</v>
      </c>
      <c r="L61" s="274">
        <f>+SUM(L54:L60)</f>
        <v>274686.08851016656</v>
      </c>
      <c r="M61" s="274">
        <f t="shared" si="24"/>
        <v>250092.57169688508</v>
      </c>
      <c r="N61" s="274">
        <f t="shared" si="24"/>
        <v>297972.67121173645</v>
      </c>
      <c r="O61" s="274">
        <f t="shared" si="24"/>
        <v>275811.58446848579</v>
      </c>
      <c r="P61" s="274">
        <f t="shared" si="24"/>
        <v>303367.38145875646</v>
      </c>
      <c r="Q61" s="274">
        <f t="shared" si="24"/>
        <v>302554.35036596836</v>
      </c>
      <c r="R61" s="173"/>
      <c r="S61" s="274">
        <f>SUM(S54:S60)</f>
        <v>3717439</v>
      </c>
      <c r="T61" s="166" t="b">
        <f>+S61=D61</f>
        <v>1</v>
      </c>
    </row>
    <row r="62" spans="1:20" x14ac:dyDescent="0.25">
      <c r="C62" s="59"/>
      <c r="D62" s="60"/>
      <c r="S62" s="167"/>
      <c r="T62" s="166"/>
    </row>
    <row r="63" spans="1:20" x14ac:dyDescent="0.25">
      <c r="C63" s="44" t="s">
        <v>164</v>
      </c>
    </row>
    <row r="64" spans="1:20" x14ac:dyDescent="0.25">
      <c r="D64" s="256"/>
    </row>
    <row r="65" spans="4:4" x14ac:dyDescent="0.25">
      <c r="D65" s="191"/>
    </row>
    <row r="66" spans="4:4" x14ac:dyDescent="0.25">
      <c r="D66" s="167"/>
    </row>
  </sheetData>
  <mergeCells count="2">
    <mergeCell ref="C2:D2"/>
    <mergeCell ref="C3:D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P61"/>
  <sheetViews>
    <sheetView topLeftCell="A10" workbookViewId="0">
      <selection activeCell="E41" sqref="E40:E41"/>
    </sheetView>
  </sheetViews>
  <sheetFormatPr defaultColWidth="12" defaultRowHeight="15" x14ac:dyDescent="0.25"/>
  <cols>
    <col min="1" max="1" width="2.5703125" customWidth="1"/>
    <col min="2" max="2" width="2.7109375" bestFit="1" customWidth="1"/>
    <col min="3" max="3" width="47.42578125" bestFit="1" customWidth="1"/>
    <col min="4" max="4" width="2.42578125" customWidth="1"/>
    <col min="5" max="5" width="7.5703125" bestFit="1" customWidth="1"/>
    <col min="6" max="6" width="7.42578125" customWidth="1"/>
    <col min="7" max="7" width="11" bestFit="1" customWidth="1"/>
    <col min="8" max="8" width="11.42578125" bestFit="1" customWidth="1"/>
    <col min="9" max="9" width="2.42578125" customWidth="1"/>
    <col min="10" max="10" width="12.28515625" customWidth="1"/>
    <col min="11" max="11" width="8" bestFit="1" customWidth="1"/>
    <col min="12" max="12" width="13.42578125" customWidth="1"/>
    <col min="13" max="13" width="13.5703125" customWidth="1"/>
    <col min="14" max="14" width="2.5703125" customWidth="1"/>
    <col min="15" max="15" width="18.42578125" customWidth="1"/>
    <col min="16" max="16" width="7.42578125" customWidth="1"/>
    <col min="17" max="17" width="12.42578125" customWidth="1"/>
    <col min="18" max="18" width="12.7109375" customWidth="1"/>
    <col min="19" max="19" width="2.42578125" customWidth="1"/>
  </cols>
  <sheetData>
    <row r="1" spans="2:14" s="125" customFormat="1" ht="15.75" x14ac:dyDescent="0.25">
      <c r="C1" s="128"/>
    </row>
    <row r="2" spans="2:14" s="125" customFormat="1" ht="15.75" x14ac:dyDescent="0.25">
      <c r="B2" s="303" t="s">
        <v>1</v>
      </c>
      <c r="C2" s="303"/>
      <c r="D2" s="303"/>
      <c r="E2" s="303"/>
      <c r="J2" s="126" t="s">
        <v>16</v>
      </c>
    </row>
    <row r="3" spans="2:14" s="125" customFormat="1" ht="15.75" x14ac:dyDescent="0.25">
      <c r="B3" s="303" t="s">
        <v>17</v>
      </c>
      <c r="C3" s="303"/>
      <c r="D3" s="303"/>
      <c r="E3" s="303"/>
      <c r="J3" s="126"/>
    </row>
    <row r="4" spans="2:14" s="125" customFormat="1" ht="15.75" x14ac:dyDescent="0.25">
      <c r="B4" s="304" t="s">
        <v>187</v>
      </c>
      <c r="C4" s="304"/>
      <c r="D4" s="304"/>
      <c r="E4" s="304"/>
    </row>
    <row r="5" spans="2:14" s="125" customFormat="1" ht="15.75" x14ac:dyDescent="0.25">
      <c r="B5" s="130" t="s">
        <v>18</v>
      </c>
      <c r="C5" s="129">
        <f>+Cover!$L$4</f>
        <v>45884</v>
      </c>
      <c r="D5" s="131"/>
      <c r="E5" s="131"/>
    </row>
    <row r="6" spans="2:14" s="125" customFormat="1" ht="15.75" x14ac:dyDescent="0.25">
      <c r="B6" s="127"/>
      <c r="C6" s="127"/>
      <c r="D6" s="127"/>
      <c r="E6" s="127"/>
    </row>
    <row r="7" spans="2:14" ht="28.5" x14ac:dyDescent="0.45">
      <c r="C7" s="3" t="s">
        <v>186</v>
      </c>
    </row>
    <row r="8" spans="2:14" x14ac:dyDescent="0.25">
      <c r="C8" t="s">
        <v>19</v>
      </c>
      <c r="E8" s="302">
        <v>45809</v>
      </c>
      <c r="F8" s="302"/>
      <c r="G8" s="302"/>
      <c r="H8" s="302"/>
      <c r="J8" s="108" t="s">
        <v>20</v>
      </c>
      <c r="K8" s="109"/>
      <c r="L8" s="109"/>
      <c r="M8" s="109"/>
    </row>
    <row r="9" spans="2:14" ht="15" hidden="1" customHeight="1" x14ac:dyDescent="0.25">
      <c r="E9" s="122">
        <f>+EOMONTH(E8,0)</f>
        <v>45838</v>
      </c>
      <c r="F9" s="123"/>
      <c r="G9" s="123"/>
      <c r="H9" s="123"/>
      <c r="J9" s="108" t="e">
        <f>+EOMONTH(J8,0)</f>
        <v>#VALUE!</v>
      </c>
      <c r="K9" s="109"/>
      <c r="L9" s="109"/>
      <c r="M9" s="109"/>
    </row>
    <row r="10" spans="2:14" s="5" customFormat="1" ht="45" customHeight="1" collapsed="1" x14ac:dyDescent="0.25">
      <c r="C10" s="121" t="s">
        <v>21</v>
      </c>
      <c r="D10" s="4"/>
      <c r="E10" s="121" t="str">
        <f>+TEXT(E$8,"MMM-YY ") &amp; "Budget"</f>
        <v>Jun-25 Budget</v>
      </c>
      <c r="F10" s="121" t="str">
        <f>+TEXT(E$8,"MMM-YY ") &amp; "Actual"</f>
        <v>Jun-25 Actual</v>
      </c>
      <c r="G10" s="121" t="str">
        <f>+TEXT(E$8,"MMM-YY ") &amp; "Variance ($)"</f>
        <v>Jun-25 Variance ($)</v>
      </c>
      <c r="H10" s="121" t="str">
        <f>+TEXT(E$8,"MMM-YY ") &amp; "Variance (%)"</f>
        <v>Jun-25 Variance (%)</v>
      </c>
      <c r="I10" s="4"/>
      <c r="J10" s="110" t="str">
        <f>+TEXT(J$8,"MMM-YY ") &amp; "Certified Budget"</f>
        <v>YTD Certified Budget</v>
      </c>
      <c r="K10" s="110" t="str">
        <f>+TEXT(J$8,"MMM-YY ") &amp; "Actual"</f>
        <v>YTD Actual</v>
      </c>
      <c r="L10" s="110" t="str">
        <f>+TEXT(J$8,"MMM-YY ") &amp; "Variance ($)"</f>
        <v>YTD Variance ($)</v>
      </c>
      <c r="M10" s="110" t="str">
        <f>+TEXT(J$8,"MMM-YY ") &amp; "Variance (%)"</f>
        <v>YTD Variance (%)</v>
      </c>
      <c r="N10" s="4"/>
    </row>
    <row r="11" spans="2:14" s="5" customFormat="1" ht="4.1500000000000004" customHeight="1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x14ac:dyDescent="0.25">
      <c r="B12" s="70" t="s">
        <v>22</v>
      </c>
      <c r="C12" s="115" t="s">
        <v>23</v>
      </c>
      <c r="D12" s="6"/>
      <c r="I12" s="6"/>
      <c r="N12" s="6"/>
    </row>
    <row r="13" spans="2:14" s="5" customFormat="1" x14ac:dyDescent="0.25">
      <c r="C13" s="15" t="s">
        <v>24</v>
      </c>
      <c r="D13"/>
      <c r="E13" s="102">
        <f>+_xlfn.XLOOKUP($E$10,'Monthly Revenues'!$E$10:$BP$10,'Monthly Revenues'!$E58:$BP58,0)</f>
        <v>337.68818369930176</v>
      </c>
      <c r="F13" s="102">
        <f>+_xlfn.XLOOKUP($F$10,'Monthly Revenues'!$E$10:$BP$10,'Monthly Revenues'!$E58:$BP58,0)</f>
        <v>364.53680255899997</v>
      </c>
      <c r="G13" s="116">
        <f t="shared" ref="G13:G24" si="0">F13-E13</f>
        <v>26.848618859698206</v>
      </c>
      <c r="H13" s="117">
        <f t="shared" ref="H13:H24" si="1">IFERROR(G13/E13,"n.a.")</f>
        <v>7.9507131595714528E-2</v>
      </c>
      <c r="I13"/>
      <c r="J13" s="102">
        <f>+'Monthly Revenues'!BM58</f>
        <v>3982.2620000000002</v>
      </c>
      <c r="K13" s="102">
        <f>+'Monthly Revenues'!BN58</f>
        <v>4112.1827450512319</v>
      </c>
      <c r="L13" s="116">
        <f t="shared" ref="L13:L24" si="2">K13-J13</f>
        <v>129.92074505123173</v>
      </c>
      <c r="M13" s="117">
        <f t="shared" ref="M13:M23" si="3">IFERROR(L13/J13,"n.a.")</f>
        <v>3.2624861209842981E-2</v>
      </c>
    </row>
    <row r="14" spans="2:14" s="5" customFormat="1" x14ac:dyDescent="0.25">
      <c r="C14" s="112" t="s">
        <v>194</v>
      </c>
      <c r="D14"/>
      <c r="E14" s="102">
        <f>+_xlfn.XLOOKUP($E$10,'Monthly Revenues'!$E$10:$BP$10,'Monthly Revenues'!$E59:$BP59,0)</f>
        <v>0</v>
      </c>
      <c r="F14" s="102">
        <f>+_xlfn.XLOOKUP($F$10,'Monthly Revenues'!$E$10:$BP$10,'Monthly Revenues'!$E59:$BP59,0)</f>
        <v>0</v>
      </c>
      <c r="G14" s="116">
        <f t="shared" si="0"/>
        <v>0</v>
      </c>
      <c r="H14" s="117" t="str">
        <f t="shared" si="1"/>
        <v>n.a.</v>
      </c>
      <c r="I14"/>
      <c r="J14" s="102">
        <f>+'Monthly Revenues'!BM59</f>
        <v>156.78299999999999</v>
      </c>
      <c r="K14" s="102">
        <f>+'Monthly Revenues'!BN59</f>
        <v>0</v>
      </c>
      <c r="L14" s="116">
        <f>K14-J14</f>
        <v>-156.78299999999999</v>
      </c>
      <c r="M14" s="117">
        <f>IFERROR(L14/J14,"n.a.")</f>
        <v>-1</v>
      </c>
    </row>
    <row r="15" spans="2:14" s="5" customFormat="1" x14ac:dyDescent="0.25">
      <c r="C15" s="112" t="s">
        <v>25</v>
      </c>
      <c r="D15"/>
      <c r="E15" s="102">
        <f>+_xlfn.XLOOKUP($E$10,'Monthly Revenues'!$E$10:$BP$10,'Monthly Revenues'!$E60:$BP60,0)</f>
        <v>7.4712500000000004</v>
      </c>
      <c r="F15" s="102">
        <f>+_xlfn.XLOOKUP($F$10,'Monthly Revenues'!$E$10:$BP$10,'Monthly Revenues'!$E60:$BP60,0)</f>
        <v>-12.98902899</v>
      </c>
      <c r="G15" s="116">
        <f t="shared" si="0"/>
        <v>-20.460278989999999</v>
      </c>
      <c r="H15" s="117">
        <f t="shared" si="1"/>
        <v>-2.7385349158440686</v>
      </c>
      <c r="I15"/>
      <c r="J15" s="102">
        <f>+'Monthly Revenues'!BM60</f>
        <v>89.655000000000001</v>
      </c>
      <c r="K15" s="102">
        <f>+'Monthly Revenues'!BN60</f>
        <v>131.18983958300001</v>
      </c>
      <c r="L15" s="116">
        <f>K15-J15</f>
        <v>41.534839583000007</v>
      </c>
      <c r="M15" s="117">
        <f>IFERROR(L15/J15,"n.a.")</f>
        <v>0.46327410164519556</v>
      </c>
    </row>
    <row r="16" spans="2:14" x14ac:dyDescent="0.25">
      <c r="C16" s="112" t="s">
        <v>195</v>
      </c>
      <c r="E16" s="102">
        <f>+_xlfn.XLOOKUP($E$10,'Monthly Revenues'!$E$10:$BP$10,'Monthly Revenues'!$E61:$BP61,0)</f>
        <v>6.2284166666666669</v>
      </c>
      <c r="F16" s="102">
        <f>+_xlfn.XLOOKUP($F$10,'Monthly Revenues'!$E$10:$BP$10,'Monthly Revenues'!$E61:$BP61,0)</f>
        <v>0</v>
      </c>
      <c r="G16" s="116">
        <f t="shared" si="0"/>
        <v>-6.2284166666666669</v>
      </c>
      <c r="H16" s="117">
        <f t="shared" si="1"/>
        <v>-1</v>
      </c>
      <c r="J16" s="102">
        <f>+'Monthly Revenues'!BM61</f>
        <v>74.741</v>
      </c>
      <c r="K16" s="102">
        <f>+'Monthly Revenues'!BN61</f>
        <v>0</v>
      </c>
      <c r="L16" s="116">
        <f>K16-J16</f>
        <v>-74.741</v>
      </c>
      <c r="M16" s="117">
        <f>IFERROR(L16/J16,"n.a.")</f>
        <v>-1</v>
      </c>
    </row>
    <row r="17" spans="2:16" s="5" customFormat="1" x14ac:dyDescent="0.25">
      <c r="C17" s="15" t="s">
        <v>26</v>
      </c>
      <c r="D17"/>
      <c r="E17" s="14">
        <f>SUM(E13:E16)</f>
        <v>351.3878503659684</v>
      </c>
      <c r="F17" s="14">
        <f>SUM(F13:F16)</f>
        <v>351.54777356899996</v>
      </c>
      <c r="G17" s="14">
        <f t="shared" si="0"/>
        <v>0.15992320303155338</v>
      </c>
      <c r="H17" s="117">
        <f t="shared" si="1"/>
        <v>4.5511876083647825E-4</v>
      </c>
      <c r="I17"/>
      <c r="J17" s="14">
        <f>SUM(J13:J16)</f>
        <v>4303.4409999999998</v>
      </c>
      <c r="K17" s="14">
        <f>SUM(K13:K16)</f>
        <v>4243.3725846342322</v>
      </c>
      <c r="L17" s="14">
        <f t="shared" si="2"/>
        <v>-60.068415365767578</v>
      </c>
      <c r="M17" s="117">
        <f t="shared" si="3"/>
        <v>-1.3958229092897423E-2</v>
      </c>
    </row>
    <row r="18" spans="2:16" x14ac:dyDescent="0.25">
      <c r="C18" s="112" t="s">
        <v>27</v>
      </c>
      <c r="E18" s="102">
        <f>+_xlfn.XLOOKUP($E$10,'Monthly Revenues'!$E$10:$BP$10,'Monthly Revenues'!$E63:$BP63,0)</f>
        <v>-4.96075</v>
      </c>
      <c r="F18" s="102">
        <f>+_xlfn.XLOOKUP($F$10,'Monthly Revenues'!$E$10:$BP$10,'Monthly Revenues'!$E63:$BP63,0)</f>
        <v>-5.6662296899999998</v>
      </c>
      <c r="G18" s="103">
        <f t="shared" si="0"/>
        <v>-0.70547968999999977</v>
      </c>
      <c r="H18" s="104">
        <f t="shared" si="1"/>
        <v>0.14221230459103962</v>
      </c>
      <c r="J18" s="102">
        <f>+'Monthly Revenues'!BM63</f>
        <v>-59.529000000000003</v>
      </c>
      <c r="K18" s="102">
        <f>+'Monthly Revenues'!BN63</f>
        <v>-398.97894187999998</v>
      </c>
      <c r="L18" s="103">
        <f t="shared" si="2"/>
        <v>-339.44994187999998</v>
      </c>
      <c r="M18" s="104">
        <f t="shared" si="3"/>
        <v>5.702261786356229</v>
      </c>
    </row>
    <row r="19" spans="2:16" x14ac:dyDescent="0.25">
      <c r="C19" s="112" t="s">
        <v>101</v>
      </c>
      <c r="E19" s="102">
        <f>+_xlfn.XLOOKUP($E$10,'Monthly Revenues'!$E$10:$BP$10,'Monthly Revenues'!$E64:$BP64,0)</f>
        <v>-2.2875000000000001</v>
      </c>
      <c r="F19" s="102">
        <f>+_xlfn.XLOOKUP($F$10,'Monthly Revenues'!$E$10:$BP$10,'Monthly Revenues'!$E64:$BP64,0)</f>
        <v>-1.2148319699999997</v>
      </c>
      <c r="G19" s="103">
        <f t="shared" si="0"/>
        <v>1.0726680300000004</v>
      </c>
      <c r="H19" s="104">
        <f t="shared" si="1"/>
        <v>-0.46892591475409856</v>
      </c>
      <c r="J19" s="102">
        <f>+'Monthly Revenues'!BM64</f>
        <v>-27.45</v>
      </c>
      <c r="K19" s="102">
        <f>+'Monthly Revenues'!BN64</f>
        <v>-3.5421536899999992</v>
      </c>
      <c r="L19" s="103">
        <f t="shared" si="2"/>
        <v>23.90784631</v>
      </c>
      <c r="M19" s="104">
        <f t="shared" si="3"/>
        <v>-0.87095979271402557</v>
      </c>
    </row>
    <row r="20" spans="2:16" x14ac:dyDescent="0.25">
      <c r="C20" s="112" t="s">
        <v>102</v>
      </c>
      <c r="E20" s="102">
        <f>+_xlfn.XLOOKUP($E$10,'Monthly Revenues'!$E$10:$BP$10,'Monthly Revenues'!$E65:$BP65,0)</f>
        <v>-2.4140000000000001</v>
      </c>
      <c r="F20" s="102">
        <f>+_xlfn.XLOOKUP($F$10,'Monthly Revenues'!$E$10:$BP$10,'Monthly Revenues'!$E65:$BP65,0)</f>
        <v>0</v>
      </c>
      <c r="G20" s="103">
        <f t="shared" si="0"/>
        <v>2.4140000000000001</v>
      </c>
      <c r="H20" s="104">
        <f t="shared" si="1"/>
        <v>-1</v>
      </c>
      <c r="J20" s="102">
        <f>+'Monthly Revenues'!BM65</f>
        <v>-28.968</v>
      </c>
      <c r="K20" s="102">
        <f>+'Monthly Revenues'!BN65</f>
        <v>0</v>
      </c>
      <c r="L20" s="103">
        <f t="shared" si="2"/>
        <v>28.968</v>
      </c>
      <c r="M20" s="104">
        <f t="shared" si="3"/>
        <v>-1</v>
      </c>
    </row>
    <row r="21" spans="2:16" x14ac:dyDescent="0.25">
      <c r="C21" s="112" t="s">
        <v>196</v>
      </c>
      <c r="E21" s="102">
        <f>+_xlfn.XLOOKUP($E$10,'Monthly Revenues'!$E$10:$BP$10,'Monthly Revenues'!$E66:$BP66,0)</f>
        <v>-2.0270833333333331</v>
      </c>
      <c r="F21" s="102">
        <f>+_xlfn.XLOOKUP($F$10,'Monthly Revenues'!$E$10:$BP$10,'Monthly Revenues'!$E66:$BP66,0)</f>
        <v>0</v>
      </c>
      <c r="G21" s="103">
        <f t="shared" si="0"/>
        <v>2.0270833333333331</v>
      </c>
      <c r="H21" s="104">
        <f t="shared" si="1"/>
        <v>-1</v>
      </c>
      <c r="J21" s="102">
        <f>+'Monthly Revenues'!BM66</f>
        <v>-24.324999999999999</v>
      </c>
      <c r="K21" s="102">
        <f>+'Monthly Revenues'!BN66</f>
        <v>0</v>
      </c>
      <c r="L21" s="103">
        <f t="shared" si="2"/>
        <v>24.324999999999999</v>
      </c>
      <c r="M21" s="104">
        <f t="shared" si="3"/>
        <v>-1</v>
      </c>
    </row>
    <row r="22" spans="2:16" x14ac:dyDescent="0.25">
      <c r="C22" s="112" t="s">
        <v>197</v>
      </c>
      <c r="E22" s="102">
        <f>+_xlfn.XLOOKUP($E$10,'Monthly Revenues'!$E$10:$BP$10,'Monthly Revenues'!$E67:$BP67,0)</f>
        <v>-11.228</v>
      </c>
      <c r="F22" s="102">
        <f>+_xlfn.XLOOKUP($F$10,'Monthly Revenues'!$E$10:$BP$10,'Monthly Revenues'!$E67:$BP67,0)</f>
        <v>-11.22792241</v>
      </c>
      <c r="G22" s="103">
        <f t="shared" si="0"/>
        <v>7.7590000000071768E-5</v>
      </c>
      <c r="H22" s="104">
        <f t="shared" si="1"/>
        <v>-6.9104025650224233E-6</v>
      </c>
      <c r="J22" s="102">
        <f>+'Monthly Revenues'!BM67</f>
        <v>-134.73599999999999</v>
      </c>
      <c r="K22" s="102">
        <f>+'Monthly Revenues'!BN67</f>
        <v>-134.73506892000003</v>
      </c>
      <c r="L22" s="103">
        <f t="shared" si="2"/>
        <v>9.3107999995822865E-4</v>
      </c>
      <c r="M22" s="104">
        <f t="shared" si="3"/>
        <v>-6.9104025647060082E-6</v>
      </c>
    </row>
    <row r="23" spans="2:16" x14ac:dyDescent="0.25">
      <c r="C23" s="112" t="s">
        <v>28</v>
      </c>
      <c r="E23" s="102">
        <f>+_xlfn.XLOOKUP($E$10,'Monthly Revenues'!$E$10:$BP$10,'Monthly Revenues'!$E68:$BP68,0)</f>
        <v>-25.916166666666669</v>
      </c>
      <c r="F23" s="102">
        <f>+_xlfn.XLOOKUP($F$10,'Monthly Revenues'!$E$10:$BP$10,'Monthly Revenues'!$E68:$BP68,0)</f>
        <v>-33.66028128</v>
      </c>
      <c r="G23" s="103">
        <f t="shared" si="0"/>
        <v>-7.7441146133333305</v>
      </c>
      <c r="H23" s="104">
        <f t="shared" si="1"/>
        <v>0.2988140458015266</v>
      </c>
      <c r="J23" s="102">
        <f>+'Monthly Revenues'!BM68</f>
        <v>-310.99400000000003</v>
      </c>
      <c r="K23" s="102">
        <f>+'Monthly Revenues'!BN68</f>
        <v>-313.74541927999996</v>
      </c>
      <c r="L23" s="103">
        <f t="shared" si="2"/>
        <v>-2.7514192799999364</v>
      </c>
      <c r="M23" s="104">
        <f t="shared" si="3"/>
        <v>8.8471780162959288E-3</v>
      </c>
    </row>
    <row r="24" spans="2:16" s="5" customFormat="1" ht="15.75" thickBot="1" x14ac:dyDescent="0.3">
      <c r="C24" s="111" t="s">
        <v>29</v>
      </c>
      <c r="E24" s="29">
        <f>SUM(E17:E23)</f>
        <v>302.55435036596839</v>
      </c>
      <c r="F24" s="29">
        <f>SUM(F17:F23)</f>
        <v>299.77850821899995</v>
      </c>
      <c r="G24" s="29">
        <f t="shared" si="0"/>
        <v>-2.7758421469684436</v>
      </c>
      <c r="H24" s="37">
        <f t="shared" si="1"/>
        <v>-9.1746892537185373E-3</v>
      </c>
      <c r="J24" s="29">
        <f>SUM(J17:J23)</f>
        <v>3717.4389999999999</v>
      </c>
      <c r="K24" s="40">
        <f>SUM(K17:K23)</f>
        <v>3392.371000864232</v>
      </c>
      <c r="L24" s="29">
        <f t="shared" si="2"/>
        <v>-325.06799913576788</v>
      </c>
      <c r="M24" s="37">
        <f>IFERROR(L24/J24,"n.a.")</f>
        <v>-8.7444070806748375E-2</v>
      </c>
      <c r="P24" s="120">
        <v>44378</v>
      </c>
    </row>
    <row r="25" spans="2:16" ht="4.1500000000000004" customHeight="1" thickTop="1" x14ac:dyDescent="0.25">
      <c r="C25" s="7"/>
      <c r="E25" s="100"/>
      <c r="P25" s="120">
        <f>+EDATE(P24,1)</f>
        <v>44409</v>
      </c>
    </row>
    <row r="26" spans="2:16" x14ac:dyDescent="0.25">
      <c r="B26" s="70" t="s">
        <v>30</v>
      </c>
      <c r="C26" s="115" t="s">
        <v>31</v>
      </c>
      <c r="D26" s="6"/>
      <c r="E26" s="100"/>
      <c r="P26" s="120">
        <f t="shared" ref="P26:P30" si="4">+EDATE(P25,1)</f>
        <v>44440</v>
      </c>
    </row>
    <row r="27" spans="2:16" x14ac:dyDescent="0.25">
      <c r="C27" s="15" t="s">
        <v>32</v>
      </c>
      <c r="E27" s="241">
        <f>+_xlfn.XLOOKUP($E$10,'Monthly Expenses'!$E$10:$BP$10,'Monthly Expenses'!$E16:$BP16,0)</f>
        <v>0</v>
      </c>
      <c r="F27" s="119">
        <f>+_xlfn.XLOOKUP($F$10,'Monthly Expenses'!$E$10:$BP$10,'Monthly Expenses'!$E16:$BP16,0)</f>
        <v>0</v>
      </c>
      <c r="G27" s="118">
        <f>E27-F27</f>
        <v>0</v>
      </c>
      <c r="H27" s="117" t="str">
        <f>IFERROR(G27/E27,"")</f>
        <v/>
      </c>
      <c r="J27" s="119">
        <f>+'Monthly Expenses'!BM16</f>
        <v>0</v>
      </c>
      <c r="K27" s="119">
        <f>+'Monthly Expenses'!BN16</f>
        <v>0</v>
      </c>
      <c r="L27" s="14">
        <f>J27-K27</f>
        <v>0</v>
      </c>
      <c r="M27" s="117" t="str">
        <f t="shared" ref="M27" si="5">IFERROR(L27/J27,"n.a.")</f>
        <v>n.a.</v>
      </c>
      <c r="P27" s="120">
        <f t="shared" si="4"/>
        <v>44470</v>
      </c>
    </row>
    <row r="28" spans="2:16" ht="4.1500000000000004" customHeight="1" x14ac:dyDescent="0.25">
      <c r="C28" s="97"/>
      <c r="D28" s="5"/>
      <c r="E28" s="100"/>
      <c r="F28" s="17"/>
      <c r="G28" s="106"/>
      <c r="H28" s="107"/>
      <c r="J28" s="14"/>
      <c r="K28" s="17"/>
      <c r="L28" s="106"/>
      <c r="M28" s="107"/>
      <c r="P28" s="120">
        <f t="shared" si="4"/>
        <v>44501</v>
      </c>
    </row>
    <row r="29" spans="2:16" x14ac:dyDescent="0.25">
      <c r="B29" s="70"/>
      <c r="C29" s="113" t="s">
        <v>33</v>
      </c>
      <c r="D29" s="5"/>
      <c r="E29" s="100"/>
      <c r="F29" s="17"/>
      <c r="G29" s="106"/>
      <c r="H29" s="107"/>
      <c r="J29" s="14"/>
      <c r="K29" s="17"/>
      <c r="L29" s="106"/>
      <c r="M29" s="107"/>
      <c r="P29" s="120">
        <f t="shared" si="4"/>
        <v>44531</v>
      </c>
    </row>
    <row r="30" spans="2:16" x14ac:dyDescent="0.25">
      <c r="C30" s="15" t="s">
        <v>34</v>
      </c>
      <c r="E30" s="241">
        <f>+_xlfn.XLOOKUP($E$10,'Monthly Expenses'!$E$10:$BP$10,'Monthly Expenses'!$E25:$BP25,0)</f>
        <v>0</v>
      </c>
      <c r="F30" s="119">
        <f>+_xlfn.XLOOKUP($F$10,'Monthly Expenses'!$E$10:$BP$10,'Monthly Expenses'!$E25:$BP25,0)</f>
        <v>0</v>
      </c>
      <c r="G30" s="118">
        <f>E30-F30</f>
        <v>0</v>
      </c>
      <c r="H30" s="117" t="str">
        <f>IFERROR(G30/E30,"")</f>
        <v/>
      </c>
      <c r="J30" s="119">
        <f>+'Monthly Expenses'!BM25</f>
        <v>0</v>
      </c>
      <c r="K30" s="119">
        <f>+'Monthly Expenses'!BN25</f>
        <v>0</v>
      </c>
      <c r="L30" s="118">
        <f>J30-K30</f>
        <v>0</v>
      </c>
      <c r="M30" s="117" t="str">
        <f>IFERROR(L30/J30,"")</f>
        <v/>
      </c>
      <c r="P30" s="120">
        <f t="shared" si="4"/>
        <v>44562</v>
      </c>
    </row>
    <row r="31" spans="2:16" x14ac:dyDescent="0.25">
      <c r="C31" s="97" t="s">
        <v>35</v>
      </c>
      <c r="E31" s="32">
        <f>SUM(E30:E30)</f>
        <v>0</v>
      </c>
      <c r="F31" s="32">
        <f>SUM(F30:F30)</f>
        <v>0</v>
      </c>
      <c r="G31" s="32">
        <f>E31-F31</f>
        <v>0</v>
      </c>
      <c r="H31" s="34" t="str">
        <f>IFERROR(G31/E31,"")</f>
        <v/>
      </c>
      <c r="J31" s="32">
        <f>SUM(J30:J30)</f>
        <v>0</v>
      </c>
      <c r="K31" s="32">
        <f>SUM(K30:K30)</f>
        <v>0</v>
      </c>
      <c r="L31" s="32">
        <f>J31-K31</f>
        <v>0</v>
      </c>
      <c r="M31" s="34" t="str">
        <f>IFERROR(L31/J31,"")</f>
        <v/>
      </c>
      <c r="P31" s="120"/>
    </row>
    <row r="32" spans="2:16" ht="4.1500000000000004" customHeight="1" x14ac:dyDescent="0.25">
      <c r="C32" s="97"/>
      <c r="E32" s="100"/>
      <c r="F32" s="17"/>
      <c r="G32" s="106"/>
      <c r="H32" s="107"/>
      <c r="J32" s="14"/>
      <c r="K32" s="17"/>
      <c r="L32" s="106"/>
      <c r="M32" s="107"/>
    </row>
    <row r="33" spans="2:13" x14ac:dyDescent="0.25">
      <c r="B33" s="70"/>
      <c r="C33" s="113" t="s">
        <v>36</v>
      </c>
      <c r="E33" s="100"/>
      <c r="F33" s="17"/>
      <c r="G33" s="106"/>
      <c r="H33" s="107"/>
      <c r="J33" s="14"/>
      <c r="K33" s="17"/>
      <c r="L33" s="106"/>
      <c r="M33" s="107"/>
    </row>
    <row r="34" spans="2:13" s="44" customFormat="1" x14ac:dyDescent="0.25">
      <c r="C34" s="15" t="s">
        <v>37</v>
      </c>
      <c r="D34" s="72">
        <v>16756.74973602562</v>
      </c>
      <c r="E34" s="241">
        <f>+_xlfn.XLOOKUP($E$10,'Monthly Expenses'!$E$10:$BP$10,'Monthly Expenses'!$E33:$BP33,0)</f>
        <v>0</v>
      </c>
      <c r="F34" s="119">
        <f>+_xlfn.XLOOKUP($F$10,'Monthly Expenses'!$E$10:$BP$10,'Monthly Expenses'!$E33:$BP33,0)</f>
        <v>0</v>
      </c>
      <c r="G34" s="118">
        <f>E34-F34</f>
        <v>0</v>
      </c>
      <c r="H34" s="117" t="str">
        <f>IFERROR(G34/E34,"")</f>
        <v/>
      </c>
      <c r="J34" s="119">
        <f>+'Monthly Expenses'!BM33</f>
        <v>0</v>
      </c>
      <c r="K34" s="119">
        <f>+'Monthly Expenses'!BN33</f>
        <v>0</v>
      </c>
      <c r="L34" s="118">
        <f>J34-K34</f>
        <v>0</v>
      </c>
      <c r="M34" s="117" t="str">
        <f>IFERROR(L34/J34,"")</f>
        <v/>
      </c>
    </row>
    <row r="35" spans="2:13" s="44" customFormat="1" x14ac:dyDescent="0.25">
      <c r="C35" s="15" t="s">
        <v>38</v>
      </c>
      <c r="D35" s="72">
        <v>86556.076569341662</v>
      </c>
      <c r="E35" s="241">
        <f>+_xlfn.XLOOKUP($E$10,'Monthly Expenses'!$E$10:$BP$10,'Monthly Expenses'!$E47:$BP47,0)</f>
        <v>0</v>
      </c>
      <c r="F35" s="119">
        <f>+_xlfn.XLOOKUP($F$10,'Monthly Expenses'!$E$10:$BP$10,'Monthly Expenses'!$E47:$BP47,0)</f>
        <v>0</v>
      </c>
      <c r="G35" s="118">
        <f>E35-F35</f>
        <v>0</v>
      </c>
      <c r="H35" s="117" t="str">
        <f>IFERROR(G35/E35,"")</f>
        <v/>
      </c>
      <c r="I35"/>
      <c r="J35" s="119">
        <f>+'Monthly Expenses'!BM47</f>
        <v>0</v>
      </c>
      <c r="K35" s="119">
        <f>+'Monthly Expenses'!BN47</f>
        <v>0</v>
      </c>
      <c r="L35" s="118">
        <f>J35-K35</f>
        <v>0</v>
      </c>
      <c r="M35" s="117" t="str">
        <f>IFERROR(L35/J35,"")</f>
        <v/>
      </c>
    </row>
    <row r="36" spans="2:13" s="44" customFormat="1" x14ac:dyDescent="0.25">
      <c r="C36" s="15" t="s">
        <v>39</v>
      </c>
      <c r="D36" s="72"/>
      <c r="E36" s="241">
        <f>+_xlfn.XLOOKUP($E$10,'Monthly Expenses'!$E$10:$BP$10,'Monthly Expenses'!$E49:$BP49,0)</f>
        <v>0</v>
      </c>
      <c r="F36" s="119">
        <f>+_xlfn.XLOOKUP($F$10,'Monthly Expenses'!$E$10:$BP$10,'Monthly Expenses'!$E49:$BP49,0)</f>
        <v>0</v>
      </c>
      <c r="G36" s="118">
        <f>E36-F36</f>
        <v>0</v>
      </c>
      <c r="H36" s="117" t="str">
        <f>IFERROR(G36/E36,"")</f>
        <v/>
      </c>
      <c r="I36"/>
      <c r="J36" s="119">
        <f>+'Monthly Expenses'!BM49</f>
        <v>0</v>
      </c>
      <c r="K36" s="119">
        <f>+'Monthly Expenses'!BN49</f>
        <v>0</v>
      </c>
      <c r="L36" s="118">
        <f>J36-K36</f>
        <v>0</v>
      </c>
      <c r="M36" s="117" t="str">
        <f>IFERROR(L36/J36,"")</f>
        <v/>
      </c>
    </row>
    <row r="37" spans="2:13" s="44" customFormat="1" x14ac:dyDescent="0.25">
      <c r="C37" s="15" t="s">
        <v>40</v>
      </c>
      <c r="D37" s="72"/>
      <c r="E37" s="241">
        <f>+_xlfn.XLOOKUP($E$10,'Monthly Expenses'!$E$10:$BP$10,'Monthly Expenses'!$E50:$BP50,0)</f>
        <v>0</v>
      </c>
      <c r="F37" s="119">
        <f>+_xlfn.XLOOKUP($F$10,'Monthly Expenses'!$E$10:$BP$10,'Monthly Expenses'!$E50:$BP50,0)</f>
        <v>0</v>
      </c>
      <c r="G37" s="118">
        <f>E37-F37</f>
        <v>0</v>
      </c>
      <c r="H37" s="117" t="str">
        <f>IFERROR(G37/E37,"")</f>
        <v/>
      </c>
      <c r="I37"/>
      <c r="J37" s="119">
        <f>+'Monthly Expenses'!BM50</f>
        <v>0</v>
      </c>
      <c r="K37" s="119">
        <f>+'Monthly Expenses'!BN50</f>
        <v>0</v>
      </c>
      <c r="L37" s="118">
        <f>J37-K37</f>
        <v>0</v>
      </c>
      <c r="M37" s="117" t="str">
        <f>IFERROR(L37/J37,"")</f>
        <v/>
      </c>
    </row>
    <row r="38" spans="2:13" s="44" customFormat="1" x14ac:dyDescent="0.25">
      <c r="C38" s="15" t="s">
        <v>199</v>
      </c>
      <c r="D38" s="72"/>
      <c r="E38" s="241">
        <f>+_xlfn.XLOOKUP($E$10,'Monthly Expenses'!$E$10:$BP$10,'Monthly Expenses'!$E52:$BP52,0)</f>
        <v>0</v>
      </c>
      <c r="F38" s="119">
        <f>+_xlfn.XLOOKUP($F$10,'Monthly Expenses'!$E$10:$BP$10,'Monthly Expenses'!$E52:$BP52,0)</f>
        <v>0</v>
      </c>
      <c r="G38" s="118">
        <f t="shared" ref="G38" si="6">E38-F38</f>
        <v>0</v>
      </c>
      <c r="H38" s="117" t="str">
        <f t="shared" ref="H38" si="7">IFERROR(G38/E38,"")</f>
        <v/>
      </c>
      <c r="I38"/>
      <c r="J38" s="119">
        <f>+'Monthly Expenses'!BM52</f>
        <v>0</v>
      </c>
      <c r="K38" s="119">
        <f>+'Monthly Expenses'!BN52</f>
        <v>0</v>
      </c>
      <c r="L38" s="118">
        <f t="shared" ref="L38" si="8">J38-K38</f>
        <v>0</v>
      </c>
      <c r="M38" s="117" t="str">
        <f t="shared" ref="M38" si="9">IFERROR(L38/J38,"")</f>
        <v/>
      </c>
    </row>
    <row r="39" spans="2:13" s="44" customFormat="1" x14ac:dyDescent="0.25">
      <c r="B39"/>
      <c r="C39" s="97" t="s">
        <v>41</v>
      </c>
      <c r="D39" s="74">
        <v>103312.82630536729</v>
      </c>
      <c r="E39" s="32">
        <f>SUM(E34:E38)</f>
        <v>0</v>
      </c>
      <c r="F39" s="32">
        <f>SUM(F34:F38)</f>
        <v>0</v>
      </c>
      <c r="G39" s="32">
        <f>E39-F39</f>
        <v>0</v>
      </c>
      <c r="H39" s="34" t="str">
        <f>IFERROR(G39/E39,"")</f>
        <v/>
      </c>
      <c r="I39"/>
      <c r="J39" s="32">
        <f>SUM(J34:J38)</f>
        <v>0</v>
      </c>
      <c r="K39" s="32">
        <f>SUM(K34:K38)</f>
        <v>0</v>
      </c>
      <c r="L39" s="32">
        <f>J39-K39</f>
        <v>0</v>
      </c>
      <c r="M39" s="34" t="str">
        <f>IFERROR(L39/J39,"")</f>
        <v/>
      </c>
    </row>
    <row r="40" spans="2:13" s="44" customFormat="1" ht="4.1500000000000004" customHeight="1" x14ac:dyDescent="0.25">
      <c r="C40" s="114"/>
      <c r="D40" s="71"/>
      <c r="E40" s="100"/>
      <c r="F40"/>
      <c r="G40"/>
      <c r="H40"/>
      <c r="I40"/>
      <c r="J40"/>
      <c r="K40"/>
      <c r="L40"/>
      <c r="M40"/>
    </row>
    <row r="41" spans="2:13" s="44" customFormat="1" ht="17.100000000000001" customHeight="1" x14ac:dyDescent="0.25">
      <c r="C41" s="113" t="s">
        <v>42</v>
      </c>
      <c r="D41" s="71"/>
      <c r="E41" s="100"/>
      <c r="F41"/>
      <c r="G41"/>
      <c r="H41"/>
      <c r="I41"/>
      <c r="J41"/>
      <c r="K41"/>
      <c r="L41"/>
      <c r="M41"/>
    </row>
    <row r="42" spans="2:13" s="44" customFormat="1" ht="17.100000000000001" customHeight="1" x14ac:dyDescent="0.25">
      <c r="C42" s="15" t="s">
        <v>43</v>
      </c>
      <c r="D42" s="71"/>
      <c r="E42" s="241">
        <f>+_xlfn.XLOOKUP($E$10,'Monthly Expenses'!$E$10:$BP$10,'Monthly Expenses'!$E60:$BP60,0)</f>
        <v>0</v>
      </c>
      <c r="F42" s="119">
        <f>+_xlfn.XLOOKUP($F$10,'Monthly Expenses'!$E$10:$BP$10,'Monthly Expenses'!$E60:$BP60,0)</f>
        <v>0</v>
      </c>
      <c r="G42" s="118">
        <f t="shared" ref="G42:G45" si="10">E42-F42</f>
        <v>0</v>
      </c>
      <c r="H42" s="117" t="str">
        <f>IFERROR(G42/E42,"")</f>
        <v/>
      </c>
      <c r="J42" s="119">
        <f>+'Monthly Expenses'!BM60</f>
        <v>0</v>
      </c>
      <c r="K42" s="119">
        <f>+'Monthly Expenses'!BN60</f>
        <v>0</v>
      </c>
      <c r="L42" s="118">
        <f t="shared" ref="L42:L45" si="11">J42-K42</f>
        <v>0</v>
      </c>
      <c r="M42" s="117" t="str">
        <f t="shared" ref="M42:M45" si="12">IFERROR(L42/J42,"")</f>
        <v/>
      </c>
    </row>
    <row r="43" spans="2:13" s="44" customFormat="1" ht="17.100000000000001" customHeight="1" x14ac:dyDescent="0.25">
      <c r="C43" s="15" t="s">
        <v>44</v>
      </c>
      <c r="D43" s="71"/>
      <c r="E43" s="241">
        <f>+_xlfn.XLOOKUP($E$10,'Monthly Expenses'!$E$10:$BP$10,'Monthly Expenses'!$E70:$BP70,0)</f>
        <v>0</v>
      </c>
      <c r="F43" s="119">
        <f>+_xlfn.XLOOKUP($F$10,'Monthly Expenses'!$E$10:$BP$10,'Monthly Expenses'!$E70:$BP70,0)</f>
        <v>0</v>
      </c>
      <c r="G43" s="118">
        <f t="shared" si="10"/>
        <v>0</v>
      </c>
      <c r="H43" s="117" t="str">
        <f t="shared" ref="H43:H45" si="13">IFERROR(G43/E43,"")</f>
        <v/>
      </c>
      <c r="J43" s="119">
        <f>+'Monthly Expenses'!BM70</f>
        <v>0</v>
      </c>
      <c r="K43" s="119">
        <f>+'Monthly Expenses'!BN70</f>
        <v>0</v>
      </c>
      <c r="L43" s="118">
        <f t="shared" si="11"/>
        <v>0</v>
      </c>
      <c r="M43" s="117" t="str">
        <f t="shared" si="12"/>
        <v/>
      </c>
    </row>
    <row r="44" spans="2:13" s="44" customFormat="1" ht="17.100000000000001" customHeight="1" x14ac:dyDescent="0.25">
      <c r="C44" s="15" t="s">
        <v>39</v>
      </c>
      <c r="D44" s="71"/>
      <c r="E44" s="241">
        <f>+_xlfn.XLOOKUP($E$10,'Monthly Expenses'!$E$10:$BP$10,'Monthly Expenses'!$E72:$BP72,0)</f>
        <v>0</v>
      </c>
      <c r="F44" s="119">
        <f>+_xlfn.XLOOKUP($F$10,'Monthly Expenses'!$E$10:$BP$10,'Monthly Expenses'!$E72:$BP72,0)</f>
        <v>0</v>
      </c>
      <c r="G44" s="118">
        <f t="shared" si="10"/>
        <v>0</v>
      </c>
      <c r="H44" s="117" t="str">
        <f t="shared" si="13"/>
        <v/>
      </c>
      <c r="J44" s="119">
        <f>+'Monthly Expenses'!BM72</f>
        <v>0</v>
      </c>
      <c r="K44" s="119">
        <f>+'Monthly Expenses'!BN72</f>
        <v>0</v>
      </c>
      <c r="L44" s="118">
        <f t="shared" si="11"/>
        <v>0</v>
      </c>
      <c r="M44" s="117" t="str">
        <f t="shared" si="12"/>
        <v/>
      </c>
    </row>
    <row r="45" spans="2:13" s="44" customFormat="1" ht="17.100000000000001" customHeight="1" x14ac:dyDescent="0.25">
      <c r="C45" s="15" t="s">
        <v>45</v>
      </c>
      <c r="D45" s="71"/>
      <c r="E45" s="241">
        <f>+_xlfn.XLOOKUP($E$10,'Monthly Expenses'!$E$10:$BP$10,'Monthly Expenses'!$E73:$BP73,0)</f>
        <v>0</v>
      </c>
      <c r="F45" s="119">
        <f>+_xlfn.XLOOKUP($F$10,'Monthly Expenses'!$E$10:$BP$10,'Monthly Expenses'!$E73:$BP73,0)</f>
        <v>0</v>
      </c>
      <c r="G45" s="118">
        <f t="shared" si="10"/>
        <v>0</v>
      </c>
      <c r="H45" s="117" t="str">
        <f t="shared" si="13"/>
        <v/>
      </c>
      <c r="J45" s="119">
        <f>+'Monthly Expenses'!BM73</f>
        <v>0</v>
      </c>
      <c r="K45" s="119">
        <f>+'Monthly Expenses'!BN73</f>
        <v>0</v>
      </c>
      <c r="L45" s="118">
        <f t="shared" si="11"/>
        <v>0</v>
      </c>
      <c r="M45" s="117" t="str">
        <f t="shared" si="12"/>
        <v/>
      </c>
    </row>
    <row r="46" spans="2:13" s="44" customFormat="1" ht="17.100000000000001" customHeight="1" x14ac:dyDescent="0.25">
      <c r="C46" s="97" t="s">
        <v>46</v>
      </c>
      <c r="D46" s="71"/>
      <c r="E46" s="32">
        <f>SUM(E42:E45)</f>
        <v>0</v>
      </c>
      <c r="F46" s="32">
        <f>SUM(F42:F45)</f>
        <v>0</v>
      </c>
      <c r="G46" s="32">
        <f>E46-F46</f>
        <v>0</v>
      </c>
      <c r="H46" s="34" t="str">
        <f>IFERROR(G46/E46,"")</f>
        <v/>
      </c>
      <c r="I46"/>
      <c r="J46" s="32">
        <f>SUM(J42:J45)</f>
        <v>0</v>
      </c>
      <c r="K46" s="32">
        <f>SUM(K42:K45)</f>
        <v>0</v>
      </c>
      <c r="L46" s="32">
        <f>J46-K46</f>
        <v>0</v>
      </c>
      <c r="M46" s="34" t="str">
        <f>IFERROR(L46/J46,"")</f>
        <v/>
      </c>
    </row>
    <row r="47" spans="2:13" s="44" customFormat="1" ht="4.1500000000000004" customHeight="1" x14ac:dyDescent="0.25">
      <c r="C47" s="136"/>
      <c r="D47" s="71"/>
      <c r="E47" s="100"/>
      <c r="F47"/>
      <c r="G47"/>
      <c r="H47"/>
      <c r="I47"/>
      <c r="J47"/>
      <c r="K47"/>
      <c r="L47"/>
      <c r="M47"/>
    </row>
    <row r="48" spans="2:13" x14ac:dyDescent="0.25">
      <c r="B48" s="70"/>
      <c r="C48" s="113" t="s">
        <v>47</v>
      </c>
      <c r="D48" s="42"/>
      <c r="E48" s="100"/>
    </row>
    <row r="49" spans="1:13" x14ac:dyDescent="0.25">
      <c r="B49" s="44"/>
      <c r="C49" s="15" t="s">
        <v>48</v>
      </c>
      <c r="E49" s="241">
        <f>+_xlfn.XLOOKUP($E$10,'Monthly Expenses'!$E$10:$BP$10,'Monthly Expenses'!$E81:$BP81,0)</f>
        <v>69.366198306759685</v>
      </c>
      <c r="F49" s="119">
        <f>+_xlfn.XLOOKUP($F$10,'Monthly Expenses'!$E$10:$BP$10,'Monthly Expenses'!$E81:$BP81,0)</f>
        <v>79.812972890000012</v>
      </c>
      <c r="G49" s="118">
        <f>E49-F49</f>
        <v>-10.446774583240327</v>
      </c>
      <c r="H49" s="117">
        <f>IFERROR(G49/E49,"")</f>
        <v>-0.15060324535937983</v>
      </c>
      <c r="J49" s="119">
        <f>+'Monthly Expenses'!BM81</f>
        <v>692.663670680721</v>
      </c>
      <c r="K49" s="119">
        <f>+'Monthly Expenses'!BN81</f>
        <v>692.35566975999996</v>
      </c>
      <c r="L49" s="118">
        <f>J49-K49</f>
        <v>0.30800092072104235</v>
      </c>
      <c r="M49" s="117">
        <f>IFERROR(L49/J49,"")</f>
        <v>4.4466157784535154E-4</v>
      </c>
    </row>
    <row r="50" spans="1:13" ht="16.899999999999999" customHeight="1" x14ac:dyDescent="0.25">
      <c r="C50" s="15" t="s">
        <v>247</v>
      </c>
      <c r="E50" s="241">
        <f>+_xlfn.XLOOKUP($E$10,'Monthly Expenses'!$E$10:$BP$10,'Monthly Expenses'!$E83:$BP83,0)</f>
        <v>4.9534513066079997</v>
      </c>
      <c r="F50" s="119">
        <f>+_xlfn.XLOOKUP($F$10,'Monthly Expenses'!$E$10:$BP$10,'Monthly Expenses'!$E83:$BP83,0)</f>
        <v>8.5295617400000001</v>
      </c>
      <c r="G50" s="118">
        <f>E50-F50</f>
        <v>-3.5761104333920004</v>
      </c>
      <c r="H50" s="117">
        <f>IFERROR(G50/E50,"")</f>
        <v>-0.72194318910966182</v>
      </c>
      <c r="J50" s="119">
        <f>+'Monthly Expenses'!BM83</f>
        <v>62.15830932369601</v>
      </c>
      <c r="K50" s="119">
        <f>+'Monthly Expenses'!BN83</f>
        <v>51.297770799999995</v>
      </c>
      <c r="L50" s="118">
        <f>J50-K50</f>
        <v>10.860538523696015</v>
      </c>
      <c r="M50" s="117">
        <f>IFERROR(L50/J50,"")</f>
        <v>0.17472384049473746</v>
      </c>
    </row>
    <row r="51" spans="1:13" s="5" customFormat="1" ht="7.9" customHeight="1" x14ac:dyDescent="0.25"/>
    <row r="52" spans="1:13" ht="18.600000000000001" customHeight="1" thickBot="1" x14ac:dyDescent="0.3">
      <c r="B52" s="5"/>
      <c r="C52" s="97" t="s">
        <v>49</v>
      </c>
      <c r="D52" s="5"/>
      <c r="E52" s="29">
        <f>+E27+E31+E39+E46+E49+E50</f>
        <v>74.319649613367687</v>
      </c>
      <c r="F52" s="29">
        <f>+F27+F31+F39+F46+F49+F50</f>
        <v>88.342534630000017</v>
      </c>
      <c r="G52" s="29">
        <f>E52-F52</f>
        <v>-14.02288501663233</v>
      </c>
      <c r="H52" s="31">
        <f>IFERROR(G52/E52,"")</f>
        <v>-0.18868341131293587</v>
      </c>
      <c r="I52" s="5"/>
      <c r="J52" s="29">
        <f>+J27+J31+J39+J46+J49+J50</f>
        <v>754.82198000441701</v>
      </c>
      <c r="K52" s="29">
        <f>+K27+K31+K39+K46+K49+K50</f>
        <v>743.65344055999992</v>
      </c>
      <c r="L52" s="29">
        <f>J52-K52</f>
        <v>11.168539444417092</v>
      </c>
      <c r="M52" s="31">
        <f>IFERROR(L52/J52,"")</f>
        <v>1.4796256256808707E-2</v>
      </c>
    </row>
    <row r="53" spans="1:13" s="5" customFormat="1" ht="15.75" thickTop="1" x14ac:dyDescent="0.25">
      <c r="B53"/>
      <c r="C53"/>
      <c r="D53"/>
      <c r="E53" s="100"/>
      <c r="F53"/>
      <c r="G53"/>
      <c r="H53"/>
      <c r="I53"/>
      <c r="J53"/>
      <c r="K53"/>
      <c r="L53"/>
      <c r="M53"/>
    </row>
    <row r="54" spans="1:13" ht="15.75" thickBot="1" x14ac:dyDescent="0.3">
      <c r="B54" s="70" t="s">
        <v>50</v>
      </c>
      <c r="C54" s="6" t="s">
        <v>51</v>
      </c>
      <c r="D54" s="5"/>
      <c r="E54" s="246">
        <f>+E24-E52</f>
        <v>228.2347007526007</v>
      </c>
      <c r="F54" s="27">
        <f>+F24-F52</f>
        <v>211.43597358899993</v>
      </c>
      <c r="G54" s="27">
        <f>E54-F54</f>
        <v>16.798727163600773</v>
      </c>
      <c r="H54" s="28">
        <f>IFERROR(G54/E54,"")</f>
        <v>7.3602861914543266E-2</v>
      </c>
      <c r="I54" s="5"/>
      <c r="J54" s="27">
        <f>+J24-J52</f>
        <v>2962.6170199955827</v>
      </c>
      <c r="K54" s="27">
        <f>+K24-K52</f>
        <v>2648.7175603042319</v>
      </c>
      <c r="L54" s="27">
        <f>K54-J54</f>
        <v>-313.89945969135078</v>
      </c>
      <c r="M54" s="28">
        <f>IFERROR(L54/J54,"")</f>
        <v>-0.10595343831914487</v>
      </c>
    </row>
    <row r="56" spans="1:13" ht="15.75" x14ac:dyDescent="0.25">
      <c r="A56" s="215"/>
      <c r="C56" s="225"/>
      <c r="E56" s="14"/>
    </row>
    <row r="57" spans="1:13" ht="15.75" x14ac:dyDescent="0.25">
      <c r="A57" s="215"/>
    </row>
    <row r="58" spans="1:13" ht="15.75" x14ac:dyDescent="0.25">
      <c r="A58" s="215"/>
    </row>
    <row r="59" spans="1:13" ht="15.75" x14ac:dyDescent="0.25">
      <c r="A59" s="215"/>
    </row>
    <row r="60" spans="1:13" ht="15.75" x14ac:dyDescent="0.25">
      <c r="A60" s="215"/>
    </row>
    <row r="61" spans="1:13" ht="15.75" x14ac:dyDescent="0.25">
      <c r="A61" s="215"/>
    </row>
  </sheetData>
  <mergeCells count="4">
    <mergeCell ref="E8:H8"/>
    <mergeCell ref="B2:E2"/>
    <mergeCell ref="B3:E3"/>
    <mergeCell ref="B4:E4"/>
  </mergeCells>
  <pageMargins left="0.7" right="0.7" top="0.75" bottom="0.75" header="0.3" footer="0.3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C3E022C2-E770-4E5F-8F6B-3F504681A08F}">
          <x14:formula1>
            <xm:f>Expenses_FY25B!$S$4:$AD$4</xm:f>
          </x14:formula1>
          <xm:sqref>E8:H8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BP78"/>
  <sheetViews>
    <sheetView zoomScaleNormal="100" workbookViewId="0">
      <pane xSplit="3" ySplit="11" topLeftCell="F12" activePane="bottomRight" state="frozen"/>
      <selection pane="topRight" activeCell="D1" sqref="D1"/>
      <selection pane="bottomLeft" activeCell="A12" sqref="A12"/>
      <selection pane="bottomRight" activeCell="F5" sqref="F5"/>
    </sheetView>
  </sheetViews>
  <sheetFormatPr defaultColWidth="12" defaultRowHeight="15" outlineLevelRow="1" outlineLevelCol="1" x14ac:dyDescent="0.25"/>
  <cols>
    <col min="1" max="1" width="4" customWidth="1"/>
    <col min="2" max="2" width="7" bestFit="1" customWidth="1"/>
    <col min="3" max="3" width="44.42578125" customWidth="1"/>
    <col min="4" max="4" width="2.42578125" customWidth="1"/>
    <col min="5" max="5" width="12" customWidth="1" outlineLevel="1"/>
    <col min="6" max="6" width="8.42578125" customWidth="1" outlineLevel="1"/>
    <col min="7" max="7" width="12.5703125" customWidth="1" outlineLevel="1"/>
    <col min="8" max="8" width="11.42578125" customWidth="1" outlineLevel="1"/>
    <col min="9" max="9" width="2.42578125" customWidth="1"/>
    <col min="10" max="10" width="12.28515625" customWidth="1" outlineLevel="1"/>
    <col min="11" max="11" width="7.42578125" customWidth="1" outlineLevel="1"/>
    <col min="12" max="12" width="13.42578125" customWidth="1" outlineLevel="1"/>
    <col min="13" max="13" width="13.5703125" customWidth="1" outlineLevel="1"/>
    <col min="14" max="14" width="2.5703125" customWidth="1"/>
    <col min="15" max="15" width="13" hidden="1" customWidth="1" outlineLevel="1"/>
    <col min="16" max="16" width="7.42578125" hidden="1" customWidth="1" outlineLevel="1"/>
    <col min="17" max="17" width="12.42578125" hidden="1" customWidth="1" outlineLevel="1"/>
    <col min="18" max="18" width="12.7109375" hidden="1" customWidth="1" outlineLevel="1"/>
    <col min="19" max="19" width="1" customWidth="1" collapsed="1"/>
    <col min="20" max="20" width="12.5703125" customWidth="1" outlineLevel="1"/>
    <col min="21" max="21" width="10" customWidth="1" outlineLevel="1"/>
    <col min="22" max="22" width="13.28515625" customWidth="1" outlineLevel="1"/>
    <col min="23" max="23" width="12.5703125" customWidth="1" outlineLevel="1"/>
    <col min="24" max="24" width="2.42578125" customWidth="1"/>
    <col min="25" max="25" width="13" customWidth="1" outlineLevel="1"/>
    <col min="26" max="26" width="10.5703125" customWidth="1" outlineLevel="1"/>
    <col min="27" max="28" width="13.42578125" customWidth="1" outlineLevel="1"/>
    <col min="29" max="29" width="2.5703125" customWidth="1"/>
    <col min="30" max="30" width="13" customWidth="1" outlineLevel="1"/>
    <col min="31" max="31" width="10.7109375" customWidth="1" outlineLevel="1"/>
    <col min="32" max="32" width="13.28515625" customWidth="1" outlineLevel="1"/>
    <col min="33" max="33" width="11.42578125" customWidth="1" outlineLevel="1"/>
    <col min="34" max="34" width="2.5703125" customWidth="1"/>
    <col min="35" max="35" width="12.7109375" customWidth="1" outlineLevel="1"/>
    <col min="36" max="36" width="11.28515625" customWidth="1" outlineLevel="1"/>
    <col min="37" max="38" width="13.42578125" customWidth="1" outlineLevel="1"/>
    <col min="39" max="39" width="2.5703125" customWidth="1"/>
    <col min="40" max="40" width="12.7109375" customWidth="1" outlineLevel="1"/>
    <col min="41" max="41" width="7.5703125" customWidth="1" outlineLevel="1"/>
    <col min="42" max="42" width="11" customWidth="1" outlineLevel="1"/>
    <col min="43" max="43" width="11.42578125" customWidth="1" outlineLevel="1"/>
    <col min="44" max="44" width="2.42578125" customWidth="1"/>
    <col min="45" max="45" width="12.7109375" customWidth="1" outlineLevel="1"/>
    <col min="46" max="46" width="6.5703125" customWidth="1" outlineLevel="1"/>
    <col min="47" max="47" width="11" customWidth="1" outlineLevel="1"/>
    <col min="48" max="48" width="11.42578125" customWidth="1" outlineLevel="1"/>
    <col min="49" max="49" width="2.42578125" customWidth="1"/>
    <col min="50" max="50" width="12.5703125" customWidth="1" outlineLevel="1"/>
    <col min="51" max="51" width="10.7109375" customWidth="1" outlineLevel="1"/>
    <col min="52" max="52" width="11" customWidth="1" outlineLevel="1"/>
    <col min="53" max="53" width="11.42578125" customWidth="1" outlineLevel="1"/>
    <col min="54" max="54" width="2.42578125" customWidth="1"/>
    <col min="55" max="55" width="13" customWidth="1" outlineLevel="1"/>
    <col min="56" max="56" width="10.7109375" customWidth="1" outlineLevel="1"/>
    <col min="57" max="58" width="12" customWidth="1" outlineLevel="1"/>
    <col min="59" max="59" width="2.42578125" customWidth="1"/>
    <col min="60" max="60" width="13" customWidth="1" outlineLevel="1"/>
    <col min="61" max="61" width="10.7109375" customWidth="1" outlineLevel="1"/>
    <col min="62" max="63" width="12" customWidth="1" outlineLevel="1"/>
    <col min="64" max="64" width="1.28515625" customWidth="1"/>
  </cols>
  <sheetData>
    <row r="1" spans="2:68" x14ac:dyDescent="0.25">
      <c r="C1" s="2"/>
    </row>
    <row r="2" spans="2:68" s="125" customFormat="1" ht="15.75" x14ac:dyDescent="0.25">
      <c r="B2" s="303" t="s">
        <v>52</v>
      </c>
      <c r="C2" s="303"/>
      <c r="D2" s="303"/>
      <c r="E2" s="303"/>
      <c r="J2" s="126" t="s">
        <v>16</v>
      </c>
    </row>
    <row r="3" spans="2:68" s="125" customFormat="1" ht="15.75" x14ac:dyDescent="0.25">
      <c r="B3" s="303" t="s">
        <v>53</v>
      </c>
      <c r="C3" s="303"/>
      <c r="D3" s="303"/>
      <c r="E3" s="303"/>
      <c r="J3" s="126"/>
    </row>
    <row r="4" spans="2:68" s="125" customFormat="1" ht="15.75" x14ac:dyDescent="0.25">
      <c r="B4" s="304" t="s">
        <v>187</v>
      </c>
      <c r="C4" s="304"/>
      <c r="D4" s="304"/>
      <c r="E4" s="304"/>
      <c r="AE4" s="125">
        <v>7.1035999999999998E-3</v>
      </c>
    </row>
    <row r="5" spans="2:68" s="125" customFormat="1" ht="15.75" x14ac:dyDescent="0.25">
      <c r="B5" s="130" t="s">
        <v>18</v>
      </c>
      <c r="C5" s="129">
        <f>+Cover!$L$4</f>
        <v>45884</v>
      </c>
      <c r="D5" s="131"/>
      <c r="E5" s="131"/>
    </row>
    <row r="6" spans="2:68" s="125" customFormat="1" ht="15.75" x14ac:dyDescent="0.25">
      <c r="B6" s="127"/>
      <c r="C6" s="127"/>
      <c r="D6" s="127"/>
      <c r="E6" s="127"/>
    </row>
    <row r="7" spans="2:68" ht="28.5" x14ac:dyDescent="0.45">
      <c r="C7" s="3" t="s">
        <v>188</v>
      </c>
    </row>
    <row r="8" spans="2:68" x14ac:dyDescent="0.25">
      <c r="C8" t="s">
        <v>19</v>
      </c>
      <c r="E8" s="20">
        <v>45474</v>
      </c>
      <c r="F8" s="21"/>
      <c r="G8" s="21"/>
      <c r="H8" s="21"/>
      <c r="J8" s="20">
        <f>+EOMONTH(E8,1)</f>
        <v>45535</v>
      </c>
      <c r="K8" s="21"/>
      <c r="L8" s="21"/>
      <c r="M8" s="21"/>
      <c r="O8" s="20">
        <f>+EOMONTH(J8,1)</f>
        <v>45565</v>
      </c>
      <c r="P8" s="21"/>
      <c r="Q8" s="21"/>
      <c r="R8" s="21"/>
      <c r="T8" s="20">
        <f>+EOMONTH(O8,1)</f>
        <v>45596</v>
      </c>
      <c r="U8" s="21"/>
      <c r="V8" s="21"/>
      <c r="W8" s="21"/>
      <c r="Y8" s="20">
        <f>+EOMONTH(T8,1)</f>
        <v>45626</v>
      </c>
      <c r="Z8" s="21"/>
      <c r="AA8" s="21"/>
      <c r="AB8" s="21"/>
      <c r="AD8" s="20">
        <f>+EOMONTH(Y8,1)</f>
        <v>45657</v>
      </c>
      <c r="AE8" s="21"/>
      <c r="AF8" s="21"/>
      <c r="AG8" s="21"/>
      <c r="AI8" s="20">
        <f>+EOMONTH(AD8,1)</f>
        <v>45688</v>
      </c>
      <c r="AJ8" s="21"/>
      <c r="AK8" s="21"/>
      <c r="AL8" s="21"/>
      <c r="AN8" s="20">
        <f>+EOMONTH(AI8,1)</f>
        <v>45716</v>
      </c>
      <c r="AO8" s="21"/>
      <c r="AP8" s="21"/>
      <c r="AQ8" s="21"/>
      <c r="AS8" s="20">
        <f>+EOMONTH(AN8,1)</f>
        <v>45747</v>
      </c>
      <c r="AT8" s="21"/>
      <c r="AU8" s="21"/>
      <c r="AV8" s="21"/>
      <c r="AX8" s="20">
        <f>+EOMONTH(AS8,1)</f>
        <v>45777</v>
      </c>
      <c r="AY8" s="21"/>
      <c r="AZ8" s="21"/>
      <c r="BA8" s="21"/>
      <c r="BC8" s="20">
        <f>+EOMONTH(AX8,1)</f>
        <v>45808</v>
      </c>
      <c r="BD8" s="21"/>
      <c r="BE8" s="21"/>
      <c r="BF8" s="21"/>
      <c r="BH8" s="20">
        <f>+EOMONTH(BC8,1)</f>
        <v>45838</v>
      </c>
      <c r="BI8" s="21"/>
      <c r="BJ8" s="21"/>
      <c r="BK8" s="21"/>
      <c r="BM8" s="108" t="s">
        <v>20</v>
      </c>
      <c r="BN8" s="109"/>
      <c r="BO8" s="109"/>
      <c r="BP8" s="109"/>
    </row>
    <row r="9" spans="2:68" hidden="1" x14ac:dyDescent="0.25">
      <c r="E9" s="20">
        <f>+EOMONTH(E8,0)</f>
        <v>45504</v>
      </c>
      <c r="F9" s="21"/>
      <c r="G9" s="21"/>
      <c r="H9" s="21"/>
      <c r="J9" s="20">
        <f>+EOMONTH(J8,0)</f>
        <v>45535</v>
      </c>
      <c r="K9" s="21"/>
      <c r="L9" s="21"/>
      <c r="M9" s="21"/>
      <c r="O9" s="20">
        <f>+EOMONTH(O8,0)</f>
        <v>45565</v>
      </c>
      <c r="P9" s="21"/>
      <c r="Q9" s="21"/>
      <c r="R9" s="21"/>
      <c r="T9" s="20">
        <f>+EOMONTH(T8,0)</f>
        <v>45596</v>
      </c>
      <c r="U9" s="21"/>
      <c r="V9" s="21"/>
      <c r="W9" s="21"/>
      <c r="Y9" s="20">
        <f>+EOMONTH(Y8,0)</f>
        <v>45626</v>
      </c>
      <c r="Z9" s="21"/>
      <c r="AA9" s="21"/>
      <c r="AB9" s="21"/>
      <c r="AD9" s="20">
        <f>+EOMONTH(AD8,0)</f>
        <v>45657</v>
      </c>
      <c r="AE9" s="21"/>
      <c r="AF9" s="21"/>
      <c r="AG9" s="21"/>
      <c r="AI9" s="20">
        <f>+EOMONTH(AI8,0)</f>
        <v>45688</v>
      </c>
      <c r="AJ9" s="21"/>
      <c r="AK9" s="21"/>
      <c r="AL9" s="21"/>
      <c r="AN9" s="20">
        <f>+EOMONTH(AN8,0)</f>
        <v>45716</v>
      </c>
      <c r="AO9" s="21"/>
      <c r="AP9" s="21"/>
      <c r="AQ9" s="21"/>
      <c r="AS9" s="20">
        <f>+EOMONTH(AS8,0)</f>
        <v>45747</v>
      </c>
      <c r="AT9" s="21"/>
      <c r="AU9" s="21"/>
      <c r="AV9" s="21"/>
      <c r="AX9" s="20">
        <f>+EOMONTH(AX8,0)</f>
        <v>45777</v>
      </c>
      <c r="AY9" s="21"/>
      <c r="AZ9" s="21"/>
      <c r="BA9" s="21"/>
      <c r="BC9" s="20">
        <f>+EOMONTH(BC8,0)</f>
        <v>45808</v>
      </c>
      <c r="BD9" s="21"/>
      <c r="BE9" s="21"/>
      <c r="BF9" s="21"/>
      <c r="BH9" s="20">
        <f>+EOMONTH(BH8,0)</f>
        <v>45838</v>
      </c>
      <c r="BI9" s="21"/>
      <c r="BJ9" s="21"/>
      <c r="BK9" s="21"/>
      <c r="BM9" s="108" t="e">
        <f>+EOMONTH(BM8,0)</f>
        <v>#VALUE!</v>
      </c>
      <c r="BN9" s="109"/>
      <c r="BO9" s="109"/>
      <c r="BP9" s="109"/>
    </row>
    <row r="10" spans="2:68" s="5" customFormat="1" ht="45" customHeight="1" collapsed="1" x14ac:dyDescent="0.25">
      <c r="C10" s="22" t="s">
        <v>54</v>
      </c>
      <c r="D10" s="4"/>
      <c r="E10" s="22" t="str">
        <f>+TEXT(E$8,"MMM-YY ") &amp; "Budget"</f>
        <v>Jul-24 Budget</v>
      </c>
      <c r="F10" s="22" t="str">
        <f>+TEXT(E$8,"MMM-YY ") &amp; "Actual"</f>
        <v>Jul-24 Actual</v>
      </c>
      <c r="G10" s="22" t="str">
        <f>+TEXT(E$8,"MMM-YY ") &amp; "Variance ($)"</f>
        <v>Jul-24 Variance ($)</v>
      </c>
      <c r="H10" s="22" t="str">
        <f>+TEXT(E$8,"MMM-YY ") &amp; "Variance (%)"</f>
        <v>Jul-24 Variance (%)</v>
      </c>
      <c r="I10" s="4"/>
      <c r="J10" s="22" t="str">
        <f>+TEXT(J$8,"MMM-YY ") &amp; "Budget"</f>
        <v>Aug-24 Budget</v>
      </c>
      <c r="K10" s="22" t="str">
        <f>+TEXT(J$8,"MMM-YY ") &amp; "Actual"</f>
        <v>Aug-24 Actual</v>
      </c>
      <c r="L10" s="22" t="str">
        <f>+TEXT(J$8,"MMM-YY ") &amp; "Variance ($)"</f>
        <v>Aug-24 Variance ($)</v>
      </c>
      <c r="M10" s="22" t="str">
        <f>+TEXT(J$8,"MMM-YY ") &amp; "Variance (%)"</f>
        <v>Aug-24 Variance (%)</v>
      </c>
      <c r="N10" s="4"/>
      <c r="O10" s="22" t="str">
        <f>+TEXT(O$8,"MMM-YY ") &amp; "Budget"</f>
        <v>Sep-24 Budget</v>
      </c>
      <c r="P10" s="22" t="str">
        <f>+TEXT(O$8,"MMM-YY ") &amp; "Actual"</f>
        <v>Sep-24 Actual</v>
      </c>
      <c r="Q10" s="22" t="str">
        <f>+TEXT(O$8,"MMM-YY ") &amp; "Variance ($)"</f>
        <v>Sep-24 Variance ($)</v>
      </c>
      <c r="R10" s="22" t="str">
        <f>+TEXT(O$8,"MMM-YY ") &amp; "Variance (%)"</f>
        <v>Sep-24 Variance (%)</v>
      </c>
      <c r="S10" s="4"/>
      <c r="T10" s="22" t="str">
        <f>+TEXT(T$8,"MMM-YY ") &amp; "Budget"</f>
        <v>Oct-24 Budget</v>
      </c>
      <c r="U10" s="22" t="str">
        <f>+TEXT(T$8,"MMM-YY ") &amp; "Actual"</f>
        <v>Oct-24 Actual</v>
      </c>
      <c r="V10" s="22" t="str">
        <f>+TEXT(T$8,"MMM-YY ") &amp; "Variance ($)"</f>
        <v>Oct-24 Variance ($)</v>
      </c>
      <c r="W10" s="22" t="str">
        <f>+TEXT(T$8,"MMM-YY ") &amp; "Variance (%)"</f>
        <v>Oct-24 Variance (%)</v>
      </c>
      <c r="X10" s="4"/>
      <c r="Y10" s="22" t="str">
        <f>+TEXT(Y$8,"MMM-YY ") &amp; "Budget"</f>
        <v>Nov-24 Budget</v>
      </c>
      <c r="Z10" s="22" t="str">
        <f>+TEXT(Y$8,"MMM-YY ") &amp; "Actual"</f>
        <v>Nov-24 Actual</v>
      </c>
      <c r="AA10" s="22" t="str">
        <f>+TEXT(Y$8,"MMM-YY ") &amp; "Variance ($)"</f>
        <v>Nov-24 Variance ($)</v>
      </c>
      <c r="AB10" s="22" t="str">
        <f>+TEXT(Y$8,"MMM-YY ") &amp; "Variance (%)"</f>
        <v>Nov-24 Variance (%)</v>
      </c>
      <c r="AC10" s="4"/>
      <c r="AD10" s="22" t="str">
        <f>+TEXT(AD$8,"MMM-YY ") &amp; "Budget"</f>
        <v>Dec-24 Budget</v>
      </c>
      <c r="AE10" s="22" t="str">
        <f>+TEXT(AD$8,"MMM-YY ") &amp; "Actual"</f>
        <v>Dec-24 Actual</v>
      </c>
      <c r="AF10" s="22" t="str">
        <f>+TEXT(AD$8,"MMM-YY ") &amp; "Variance ($)"</f>
        <v>Dec-24 Variance ($)</v>
      </c>
      <c r="AG10" s="22" t="str">
        <f>+TEXT(AD$8,"MMM-YY ") &amp; "Variance (%)"</f>
        <v>Dec-24 Variance (%)</v>
      </c>
      <c r="AH10" s="4"/>
      <c r="AI10" s="22" t="str">
        <f>+TEXT(AI$8,"MMM-YY ") &amp; "Budget"</f>
        <v>Jan-25 Budget</v>
      </c>
      <c r="AJ10" s="22" t="str">
        <f>+TEXT(AI$8,"MMM-YY ") &amp; "Actual"</f>
        <v>Jan-25 Actual</v>
      </c>
      <c r="AK10" s="22" t="str">
        <f>+TEXT(AI$8,"MMM-YY ") &amp; "Variance ($)"</f>
        <v>Jan-25 Variance ($)</v>
      </c>
      <c r="AL10" s="22" t="str">
        <f>+TEXT(AI$8,"MMM-YY ") &amp; "Variance (%)"</f>
        <v>Jan-25 Variance (%)</v>
      </c>
      <c r="AM10" s="4"/>
      <c r="AN10" s="22" t="str">
        <f>+TEXT(AN$8,"MMM-YY ") &amp; "Budget"</f>
        <v>Feb-25 Budget</v>
      </c>
      <c r="AO10" s="22" t="str">
        <f>+TEXT(AN$8,"MMM-YY ") &amp; "Actual"</f>
        <v>Feb-25 Actual</v>
      </c>
      <c r="AP10" s="22" t="str">
        <f>+TEXT(AN$8,"MMM-YY ") &amp; "Variance ($)"</f>
        <v>Feb-25 Variance ($)</v>
      </c>
      <c r="AQ10" s="22" t="str">
        <f>+TEXT(AN$8,"MMM-YY ") &amp; "Variance (%)"</f>
        <v>Feb-25 Variance (%)</v>
      </c>
      <c r="AR10" s="4"/>
      <c r="AS10" s="22" t="str">
        <f>+TEXT(AS$8,"MMM-YY ") &amp; "Budget"</f>
        <v>Mar-25 Budget</v>
      </c>
      <c r="AT10" s="22" t="str">
        <f>+TEXT(AS$8,"MMM-YY ") &amp; "Actual"</f>
        <v>Mar-25 Actual</v>
      </c>
      <c r="AU10" s="22" t="str">
        <f>+TEXT(AS$8,"MMM-YY ") &amp; "Variance ($)"</f>
        <v>Mar-25 Variance ($)</v>
      </c>
      <c r="AV10" s="22" t="str">
        <f>+TEXT(AS$8,"MMM-YY ") &amp; "Variance (%)"</f>
        <v>Mar-25 Variance (%)</v>
      </c>
      <c r="AW10" s="4"/>
      <c r="AX10" s="22" t="str">
        <f>+TEXT(AX$8,"MMM-YY ") &amp; "Budget"</f>
        <v>Apr-25 Budget</v>
      </c>
      <c r="AY10" s="22" t="str">
        <f>+TEXT(AX$8,"MMM-YY ") &amp; "Actual"</f>
        <v>Apr-25 Actual</v>
      </c>
      <c r="AZ10" s="22" t="str">
        <f>+TEXT(AX$8,"MMM-YY ") &amp; "Variance ($)"</f>
        <v>Apr-25 Variance ($)</v>
      </c>
      <c r="BA10" s="22" t="str">
        <f>+TEXT(AX$8,"MMM-YY ") &amp; "Variance (%)"</f>
        <v>Apr-25 Variance (%)</v>
      </c>
      <c r="BB10" s="4"/>
      <c r="BC10" s="22" t="str">
        <f>+TEXT(BC$8,"MMM-YY ") &amp; "Budget"</f>
        <v>May-25 Budget</v>
      </c>
      <c r="BD10" s="22" t="str">
        <f>+TEXT(BC$8,"MMM-YY ") &amp; "Actual"</f>
        <v>May-25 Actual</v>
      </c>
      <c r="BE10" s="22" t="str">
        <f>+TEXT(BC$8,"MMM-YY ") &amp; "Variance ($)"</f>
        <v>May-25 Variance ($)</v>
      </c>
      <c r="BF10" s="22" t="str">
        <f>+TEXT(BC$8,"MMM-YY ") &amp; "Variance (%)"</f>
        <v>May-25 Variance (%)</v>
      </c>
      <c r="BG10" s="4"/>
      <c r="BH10" s="22" t="str">
        <f>+TEXT(BH$8,"MMM-YY ") &amp; "Budget"</f>
        <v>Jun-25 Budget</v>
      </c>
      <c r="BI10" s="22" t="str">
        <f>+TEXT(BH$8,"MMM-YY ") &amp; "Actual"</f>
        <v>Jun-25 Actual</v>
      </c>
      <c r="BJ10" s="22" t="str">
        <f>+TEXT(BH$8,"MMM-YY ") &amp; "Variance ($)"</f>
        <v>Jun-25 Variance ($)</v>
      </c>
      <c r="BK10" s="22" t="str">
        <f>+TEXT(BH$8,"MMM-YY ") &amp; "Variance (%)"</f>
        <v>Jun-25 Variance (%)</v>
      </c>
      <c r="BM10" s="110" t="str">
        <f>+TEXT(BM$8,"MMM-YY ") &amp; "Certified Budget"</f>
        <v>YTD Certified Budget</v>
      </c>
      <c r="BN10" s="110" t="str">
        <f>+TEXT(BM$8,"MMM-YY ") &amp; "Actual"</f>
        <v>YTD Actual</v>
      </c>
      <c r="BO10" s="110" t="str">
        <f>+TEXT(BM$8,"MMM-YY ") &amp; "Variance ($)"</f>
        <v>YTD Variance ($)</v>
      </c>
      <c r="BP10" s="110" t="str">
        <f>+TEXT(BM$8,"MMM-YY ") &amp; "Variance (%)"</f>
        <v>YTD Variance (%)</v>
      </c>
    </row>
    <row r="11" spans="2:68" ht="4.1500000000000004" customHeight="1" x14ac:dyDescent="0.25">
      <c r="C11" s="5"/>
      <c r="D11" s="5"/>
      <c r="E11" s="9"/>
      <c r="G11" s="9"/>
      <c r="H11" s="35"/>
      <c r="I11" s="5"/>
      <c r="J11" s="9"/>
      <c r="L11" s="9"/>
      <c r="M11" s="35"/>
      <c r="N11" s="5"/>
      <c r="O11" s="9"/>
      <c r="Q11" s="9"/>
      <c r="R11" s="35"/>
      <c r="S11" s="5"/>
      <c r="T11" s="9"/>
      <c r="V11" s="9"/>
      <c r="W11" s="35"/>
      <c r="X11" s="5"/>
      <c r="Y11" s="9"/>
      <c r="AA11" s="9"/>
      <c r="AB11" s="35"/>
      <c r="AC11" s="5"/>
      <c r="AD11" s="9"/>
      <c r="AF11" s="9"/>
      <c r="AG11" s="35"/>
      <c r="AH11" s="5"/>
      <c r="AI11" s="9"/>
      <c r="AK11" s="9"/>
      <c r="AL11" s="35"/>
      <c r="AM11" s="5"/>
      <c r="AN11" s="9"/>
      <c r="AP11" s="9"/>
      <c r="AQ11" s="35"/>
      <c r="AR11" s="5"/>
      <c r="AS11" s="9"/>
      <c r="AU11" s="9"/>
      <c r="AV11" s="35"/>
      <c r="AW11" s="5"/>
      <c r="AX11" s="9"/>
      <c r="AZ11" s="9"/>
      <c r="BA11" s="35"/>
      <c r="BB11" s="5"/>
      <c r="BC11" s="9"/>
      <c r="BE11" s="9"/>
      <c r="BF11" s="35"/>
      <c r="BG11" s="5"/>
      <c r="BH11" s="9"/>
      <c r="BJ11" s="9"/>
      <c r="BK11" s="35"/>
      <c r="BL11" s="5"/>
      <c r="BM11" s="9"/>
      <c r="BO11" s="9"/>
      <c r="BP11" s="35"/>
    </row>
    <row r="12" spans="2:68" x14ac:dyDescent="0.25">
      <c r="C12" s="6" t="s">
        <v>55</v>
      </c>
      <c r="D12" s="6"/>
      <c r="H12" s="36"/>
      <c r="I12" s="6"/>
      <c r="M12" s="36"/>
      <c r="N12" s="6"/>
      <c r="R12" s="36"/>
      <c r="S12" s="6"/>
      <c r="W12" s="36"/>
      <c r="X12" s="6"/>
      <c r="AB12" s="36"/>
      <c r="AC12" s="6"/>
      <c r="AG12" s="36"/>
      <c r="AH12" s="6"/>
      <c r="AL12" s="36"/>
      <c r="AM12" s="6"/>
      <c r="AQ12" s="36"/>
      <c r="AR12" s="6"/>
      <c r="AV12" s="36"/>
      <c r="AW12" s="6"/>
      <c r="BA12" s="36"/>
      <c r="BB12" s="6"/>
      <c r="BF12" s="36"/>
      <c r="BG12" s="6"/>
      <c r="BK12" s="36"/>
      <c r="BL12" s="6"/>
      <c r="BP12" s="36"/>
    </row>
    <row r="13" spans="2:68" x14ac:dyDescent="0.25">
      <c r="B13" s="289">
        <v>1</v>
      </c>
      <c r="C13" s="7" t="s">
        <v>56</v>
      </c>
      <c r="E13" s="23">
        <f>+_xlfn.XLOOKUP($B13,Revenue_FY25B!$B:$B,Revenue_FY25B!F:F,0)/1000</f>
        <v>36.628077288220275</v>
      </c>
      <c r="F13" s="25">
        <v>40.941679889999989</v>
      </c>
      <c r="G13" s="8">
        <f t="shared" ref="G13:G19" si="0">F13-E13</f>
        <v>4.3136026017797136</v>
      </c>
      <c r="H13" s="33">
        <f>IFERROR(G13/E13,"n.a.")</f>
        <v>0.11776765042392723</v>
      </c>
      <c r="J13" s="23">
        <f>+_xlfn.XLOOKUP($B13,Revenue_FY25B!$B:$B,Revenue_FY25B!G:G,0)/1000</f>
        <v>35.727678550967653</v>
      </c>
      <c r="K13" s="25">
        <v>41.259538920000004</v>
      </c>
      <c r="L13" s="8">
        <f t="shared" ref="L13:L19" si="1">K13-J13</f>
        <v>5.5318603690323513</v>
      </c>
      <c r="M13" s="33">
        <f t="shared" ref="M13:M19" si="2">IFERROR(L13/J13,"n.a.")</f>
        <v>0.15483402766123816</v>
      </c>
      <c r="O13" s="23">
        <f>+_xlfn.XLOOKUP($B13,Revenue_FY25B!$B:$B,Revenue_FY25B!H:H,0)/1000</f>
        <v>34.65611651453623</v>
      </c>
      <c r="P13" s="25">
        <v>39.127344999999998</v>
      </c>
      <c r="Q13" s="8">
        <f t="shared" ref="Q13:Q19" si="3">P13-O13</f>
        <v>4.4712284854637687</v>
      </c>
      <c r="R13" s="33">
        <f t="shared" ref="R13:R19" si="4">IFERROR(Q13/O13,"n.a.")</f>
        <v>0.12901700868844748</v>
      </c>
      <c r="T13" s="23">
        <f>+_xlfn.XLOOKUP($B13,Revenue_FY25B!$B:$B,Revenue_FY25B!I:I,0)/1000</f>
        <v>35.269611800911655</v>
      </c>
      <c r="U13" s="25">
        <v>39.068356999999999</v>
      </c>
      <c r="V13" s="8">
        <f t="shared" ref="V13:V19" si="5">U13-T13</f>
        <v>3.7987451990883443</v>
      </c>
      <c r="W13" s="33">
        <f t="shared" ref="W13:W19" si="6">IFERROR(V13/T13,"n.a.")</f>
        <v>0.10770589765862276</v>
      </c>
      <c r="Y13" s="23">
        <f>+_xlfn.XLOOKUP($B13,Revenue_FY25B!$B:$B,Revenue_FY25B!J:J,0)/1000</f>
        <v>31.269858087128579</v>
      </c>
      <c r="Z13" s="25">
        <v>33.864646</v>
      </c>
      <c r="AA13" s="8">
        <f t="shared" ref="AA13:AA19" si="7">Z13-Y13</f>
        <v>2.5947879128714213</v>
      </c>
      <c r="AB13" s="33">
        <f t="shared" ref="AB13:AB19" si="8">IFERROR(AA13/Y13,"n.a.")</f>
        <v>8.2980482535016623E-2</v>
      </c>
      <c r="AD13" s="23">
        <f>+_xlfn.XLOOKUP($B13,Revenue_FY25B!$B:$B,Revenue_FY25B!K:K,0)/1000</f>
        <v>30.539442942289078</v>
      </c>
      <c r="AE13" s="25">
        <f>31.751847</f>
        <v>31.751847000000001</v>
      </c>
      <c r="AF13" s="8">
        <f t="shared" ref="AF13:AF19" si="9">AE13-AD13</f>
        <v>1.2124040577109234</v>
      </c>
      <c r="AG13" s="33">
        <f t="shared" ref="AG13:AG19" si="10">IFERROR(AF13/AD13,"n.a.")</f>
        <v>3.9699612727122253E-2</v>
      </c>
      <c r="AI13" s="23">
        <f>+_xlfn.XLOOKUP($B13,Revenue_FY25B!$B:$B,Revenue_FY25B!L:L,0)/1000</f>
        <v>29.190933556736205</v>
      </c>
      <c r="AJ13" s="25">
        <v>28.470454660000001</v>
      </c>
      <c r="AK13" s="8">
        <f t="shared" ref="AK13:AK19" si="11">AJ13-AI13</f>
        <v>-0.72047889673620347</v>
      </c>
      <c r="AL13" s="33">
        <f t="shared" ref="AL13:AL19" si="12">IFERROR(AK13/AI13,"n.a.")</f>
        <v>-2.4681598323529574E-2</v>
      </c>
      <c r="AN13" s="23">
        <f>+_xlfn.XLOOKUP($B13,Revenue_FY25B!$B:$B,Revenue_FY25B!M:M,0)/1000</f>
        <v>25.688885916475403</v>
      </c>
      <c r="AO13" s="25">
        <v>26.162588549999995</v>
      </c>
      <c r="AP13" s="8">
        <f t="shared" ref="AP13:AP19" si="13">AO13-AN13</f>
        <v>0.47370263352459219</v>
      </c>
      <c r="AQ13" s="33">
        <f t="shared" ref="AQ13:AQ19" si="14">IFERROR(AP13/AN13,"n.a.")</f>
        <v>1.8439983542485432E-2</v>
      </c>
      <c r="AS13" s="23">
        <f>+_xlfn.XLOOKUP($B13,Revenue_FY25B!$B:$B,Revenue_FY25B!N:N,0)/1000</f>
        <v>28.809209835129835</v>
      </c>
      <c r="AT13" s="25">
        <v>29.45057259</v>
      </c>
      <c r="AU13" s="8">
        <f t="shared" ref="AU13:AU19" si="15">AT13-AS13</f>
        <v>0.64136275487016547</v>
      </c>
      <c r="AV13" s="33">
        <f t="shared" ref="AV13:AV19" si="16">IFERROR(AU13/AS13,"n.a.")</f>
        <v>2.2262420890422699E-2</v>
      </c>
      <c r="AX13" s="23">
        <f>+_xlfn.XLOOKUP($B13,Revenue_FY25B!$B:$B,Revenue_FY25B!O:O,0)/1000</f>
        <v>29.4476819368866</v>
      </c>
      <c r="AY13" s="25">
        <v>29.600823999999999</v>
      </c>
      <c r="AZ13" s="8">
        <f t="shared" ref="AZ13:AZ19" si="17">AY13-AX13</f>
        <v>0.15314206311339973</v>
      </c>
      <c r="BA13" s="33">
        <f t="shared" ref="BA13:BA19" si="18">IFERROR(AZ13/AX13,"n.a.")</f>
        <v>5.2004793939848873E-3</v>
      </c>
      <c r="BC13" s="23">
        <f>+_xlfn.XLOOKUP($B13,Revenue_FY25B!$B:$B,Revenue_FY25B!P:P,0)/1000</f>
        <v>33.826262360338283</v>
      </c>
      <c r="BD13" s="25">
        <v>30.229883999999998</v>
      </c>
      <c r="BE13" s="8">
        <f t="shared" ref="BE13:BE19" si="19">BD13-BC13</f>
        <v>-3.5963783603382851</v>
      </c>
      <c r="BF13" s="33">
        <f t="shared" ref="BF13:BF19" si="20">IFERROR(BE13/BC13,"n.a.")</f>
        <v>-0.1063191174368435</v>
      </c>
      <c r="BH13" s="23">
        <f>+_xlfn.XLOOKUP($B13,Revenue_FY25B!$B:$B,Revenue_FY25B!Q:Q,0)/1000</f>
        <v>33.976617795747281</v>
      </c>
      <c r="BI13" s="25">
        <v>35.806756</v>
      </c>
      <c r="BJ13" s="8">
        <f t="shared" ref="BJ13:BJ19" si="21">BI13-BH13</f>
        <v>1.8301382042527194</v>
      </c>
      <c r="BK13" s="33">
        <f t="shared" ref="BK13:BK19" si="22">IFERROR(BJ13/BH13,"n.a.")</f>
        <v>5.3864637594439747E-2</v>
      </c>
      <c r="BM13" s="38">
        <f>Revenue_FY25B!D6/1000</f>
        <v>385.03</v>
      </c>
      <c r="BN13" s="38">
        <f>+F13+K13+P13+U13+Z13+AE13+AJ13+AO13+AT13+AY13+BD13+BI13</f>
        <v>405.7344936099999</v>
      </c>
      <c r="BO13" s="8">
        <f t="shared" ref="BO13:BO19" si="23">BN13-BM13</f>
        <v>20.704493609999929</v>
      </c>
      <c r="BP13" s="33">
        <f t="shared" ref="BP13:BP19" si="24">IFERROR(BO13/BM13,"n.a.")</f>
        <v>5.3773715320883909E-2</v>
      </c>
    </row>
    <row r="14" spans="2:68" x14ac:dyDescent="0.25">
      <c r="B14">
        <f>+MAX($B$1:B13)+1</f>
        <v>2</v>
      </c>
      <c r="C14" s="7" t="s">
        <v>57</v>
      </c>
      <c r="E14" s="23">
        <f>+_xlfn.XLOOKUP($B14,Revenue_FY25B!$B:$B,Revenue_FY25B!F:F,0)/1000</f>
        <v>51.899255650843074</v>
      </c>
      <c r="F14" s="25">
        <v>48.976590119999997</v>
      </c>
      <c r="G14" s="8">
        <f t="shared" si="0"/>
        <v>-2.9226655308430765</v>
      </c>
      <c r="H14" s="33">
        <f t="shared" ref="H14:H19" si="25">IFERROR(G14/E14,"n.a.")</f>
        <v>-5.6314209022679876E-2</v>
      </c>
      <c r="J14" s="23">
        <f>+_xlfn.XLOOKUP($B14,Revenue_FY25B!$B:$B,Revenue_FY25B!G:G,0)/1000</f>
        <v>51.506714945958556</v>
      </c>
      <c r="K14" s="25">
        <f>46.98976541+0.00022431</f>
        <v>46.989989719999997</v>
      </c>
      <c r="L14" s="8">
        <f t="shared" si="1"/>
        <v>-4.5167252259585595</v>
      </c>
      <c r="M14" s="33">
        <f t="shared" si="2"/>
        <v>-8.7691968526774813E-2</v>
      </c>
      <c r="O14" s="23">
        <f>+_xlfn.XLOOKUP($B14,Revenue_FY25B!$B:$B,Revenue_FY25B!H:H,0)/1000</f>
        <v>51.773842911801822</v>
      </c>
      <c r="P14" s="25">
        <v>46.811544099999999</v>
      </c>
      <c r="Q14" s="8">
        <f t="shared" si="3"/>
        <v>-4.9622988118018228</v>
      </c>
      <c r="R14" s="33">
        <f t="shared" si="4"/>
        <v>-9.5845672886504418E-2</v>
      </c>
      <c r="T14" s="23">
        <f>+_xlfn.XLOOKUP($B14,Revenue_FY25B!$B:$B,Revenue_FY25B!I:I,0)/1000</f>
        <v>52.502484774005048</v>
      </c>
      <c r="U14" s="25">
        <f>54.6378516+0.00000029-1.51521067</f>
        <v>53.122641219999998</v>
      </c>
      <c r="V14" s="8">
        <f t="shared" si="5"/>
        <v>0.6201564459949509</v>
      </c>
      <c r="W14" s="33">
        <f t="shared" si="6"/>
        <v>1.1811944685368527E-2</v>
      </c>
      <c r="Y14" s="23">
        <f>+_xlfn.XLOOKUP($B14,Revenue_FY25B!$B:$B,Revenue_FY25B!J:J,0)/1000</f>
        <v>50.214964020770616</v>
      </c>
      <c r="Z14" s="25">
        <f>49.8241633-0.00124778</f>
        <v>49.822915520000002</v>
      </c>
      <c r="AA14" s="8">
        <f t="shared" si="7"/>
        <v>-0.39204850077061337</v>
      </c>
      <c r="AB14" s="33">
        <f t="shared" si="8"/>
        <v>-7.8074037971718711E-3</v>
      </c>
      <c r="AD14" s="23">
        <f>+_xlfn.XLOOKUP($B14,Revenue_FY25B!$B:$B,Revenue_FY25B!K:K,0)/1000</f>
        <v>49.158851980851416</v>
      </c>
      <c r="AE14" s="25">
        <f>49.5180603-0.0071036</f>
        <v>49.510956700000001</v>
      </c>
      <c r="AF14" s="8">
        <f t="shared" si="9"/>
        <v>0.35210471914858488</v>
      </c>
      <c r="AG14" s="33">
        <f t="shared" si="10"/>
        <v>7.1625903567833181E-3</v>
      </c>
      <c r="AI14" s="23">
        <f>+_xlfn.XLOOKUP($B14,Revenue_FY25B!$B:$B,Revenue_FY25B!L:L,0)/1000</f>
        <v>46.710137191116914</v>
      </c>
      <c r="AJ14" s="25">
        <v>43.929477945640002</v>
      </c>
      <c r="AK14" s="8">
        <f t="shared" si="11"/>
        <v>-2.7806592454769117</v>
      </c>
      <c r="AL14" s="33">
        <f t="shared" si="12"/>
        <v>-5.9530102300913872E-2</v>
      </c>
      <c r="AN14" s="23">
        <f>+_xlfn.XLOOKUP($B14,Revenue_FY25B!$B:$B,Revenue_FY25B!M:M,0)/1000</f>
        <v>44.5704312029862</v>
      </c>
      <c r="AO14" s="25">
        <v>38.368662710000009</v>
      </c>
      <c r="AP14" s="8">
        <f t="shared" si="13"/>
        <v>-6.20176849298619</v>
      </c>
      <c r="AQ14" s="33">
        <f t="shared" si="14"/>
        <v>-0.13914535546541165</v>
      </c>
      <c r="AS14" s="23">
        <f>+_xlfn.XLOOKUP($B14,Revenue_FY25B!$B:$B,Revenue_FY25B!N:N,0)/1000</f>
        <v>50.946131010188687</v>
      </c>
      <c r="AT14" s="25">
        <v>45.760475044270009</v>
      </c>
      <c r="AU14" s="8">
        <f t="shared" si="15"/>
        <v>-5.1856559659186772</v>
      </c>
      <c r="AV14" s="33">
        <f t="shared" si="16"/>
        <v>-0.10178704178501015</v>
      </c>
      <c r="AX14" s="23">
        <f>+_xlfn.XLOOKUP($B14,Revenue_FY25B!$B:$B,Revenue_FY25B!O:O,0)/1000</f>
        <v>49.540359252771729</v>
      </c>
      <c r="AY14" s="25">
        <v>47.5843487</v>
      </c>
      <c r="AZ14" s="8">
        <f t="shared" si="17"/>
        <v>-1.9560105527717297</v>
      </c>
      <c r="BA14" s="33">
        <f t="shared" si="18"/>
        <v>-3.948317255414923E-2</v>
      </c>
      <c r="BC14" s="23">
        <f>+_xlfn.XLOOKUP($B14,Revenue_FY25B!$B:$B,Revenue_FY25B!P:P,0)/1000</f>
        <v>50.77507260649697</v>
      </c>
      <c r="BD14" s="25">
        <v>47.352913700000002</v>
      </c>
      <c r="BE14" s="8">
        <f t="shared" si="19"/>
        <v>-3.4221589064969677</v>
      </c>
      <c r="BF14" s="33">
        <f t="shared" si="20"/>
        <v>-6.7398404981484597E-2</v>
      </c>
      <c r="BH14" s="23">
        <f>+_xlfn.XLOOKUP($B14,Revenue_FY25B!$B:$B,Revenue_FY25B!Q:Q,0)/1000</f>
        <v>50.370038512412577</v>
      </c>
      <c r="BI14" s="25">
        <v>50.285718099999997</v>
      </c>
      <c r="BJ14" s="8">
        <f t="shared" si="21"/>
        <v>-8.4320412412580481E-2</v>
      </c>
      <c r="BK14" s="33">
        <f t="shared" si="22"/>
        <v>-1.6740192166381129E-3</v>
      </c>
      <c r="BM14" s="38">
        <f>Revenue_FY25B!D7/1000</f>
        <v>599.96799999999996</v>
      </c>
      <c r="BN14" s="38">
        <f t="shared" ref="BN14" si="26">+F14+K14+P14+U14+Z14+AE14+AJ14+AO14+AT14+AY14+BD14+BI14</f>
        <v>568.51623357991002</v>
      </c>
      <c r="BO14" s="8">
        <f t="shared" si="23"/>
        <v>-31.451766420089939</v>
      </c>
      <c r="BP14" s="33">
        <f t="shared" si="24"/>
        <v>-5.2422406561833203E-2</v>
      </c>
    </row>
    <row r="15" spans="2:68" x14ac:dyDescent="0.25">
      <c r="B15">
        <f>+MAX($B$1:B14)+1</f>
        <v>3</v>
      </c>
      <c r="C15" s="7" t="s">
        <v>58</v>
      </c>
      <c r="E15" s="23">
        <f>+_xlfn.XLOOKUP($B15,Revenue_FY25B!$B:$B,Revenue_FY25B!F:F,0)/1000</f>
        <v>8.7403214906839608</v>
      </c>
      <c r="F15" s="25">
        <v>8.2072623699999987</v>
      </c>
      <c r="G15" s="8">
        <f t="shared" si="0"/>
        <v>-0.53305912068396211</v>
      </c>
      <c r="H15" s="33">
        <f t="shared" si="25"/>
        <v>-6.0988502682897121E-2</v>
      </c>
      <c r="J15" s="23">
        <f>+_xlfn.XLOOKUP($B15,Revenue_FY25B!$B:$B,Revenue_FY25B!G:G,0)/1000</f>
        <v>8.866723325986225</v>
      </c>
      <c r="K15" s="25">
        <v>7.5756733299999999</v>
      </c>
      <c r="L15" s="8">
        <f t="shared" si="1"/>
        <v>-1.2910499959862252</v>
      </c>
      <c r="M15" s="33">
        <f t="shared" si="2"/>
        <v>-0.14560621195909759</v>
      </c>
      <c r="O15" s="23">
        <f>+_xlfn.XLOOKUP($B15,Revenue_FY25B!$B:$B,Revenue_FY25B!H:H,0)/1000</f>
        <v>8.6031445659636372</v>
      </c>
      <c r="P15" s="25">
        <v>6.9065240899999996</v>
      </c>
      <c r="Q15" s="8">
        <f t="shared" si="3"/>
        <v>-1.6966204759636376</v>
      </c>
      <c r="R15" s="33">
        <f t="shared" si="4"/>
        <v>-0.19720934164885784</v>
      </c>
      <c r="T15" s="23">
        <f>+_xlfn.XLOOKUP($B15,Revenue_FY25B!$B:$B,Revenue_FY25B!I:I,0)/1000</f>
        <v>8.6459438405016922</v>
      </c>
      <c r="U15" s="25">
        <v>9.3210022200000004</v>
      </c>
      <c r="V15" s="8">
        <f t="shared" si="5"/>
        <v>0.67505837949830827</v>
      </c>
      <c r="W15" s="33">
        <f t="shared" si="6"/>
        <v>7.8078043525568075E-2</v>
      </c>
      <c r="Y15" s="23">
        <f>+_xlfn.XLOOKUP($B15,Revenue_FY25B!$B:$B,Revenue_FY25B!J:J,0)/1000</f>
        <v>8.4891233245238844</v>
      </c>
      <c r="Z15" s="25">
        <v>7.6750335099999996</v>
      </c>
      <c r="AA15" s="8">
        <f t="shared" si="7"/>
        <v>-0.81408981452388485</v>
      </c>
      <c r="AB15" s="33">
        <f t="shared" si="8"/>
        <v>-9.5897984209051809E-2</v>
      </c>
      <c r="AD15" s="23">
        <f>+_xlfn.XLOOKUP($B15,Revenue_FY25B!$B:$B,Revenue_FY25B!K:K,0)/1000</f>
        <v>8.4491218959370844</v>
      </c>
      <c r="AE15" s="25">
        <v>8.1934821800000002</v>
      </c>
      <c r="AF15" s="8">
        <f t="shared" si="9"/>
        <v>-0.25563971593708423</v>
      </c>
      <c r="AG15" s="33">
        <f t="shared" si="10"/>
        <v>-3.025636499101916E-2</v>
      </c>
      <c r="AI15" s="23">
        <f>+_xlfn.XLOOKUP($B15,Revenue_FY25B!$B:$B,Revenue_FY25B!L:L,0)/1000</f>
        <v>7.7185144681040656</v>
      </c>
      <c r="AJ15" s="25">
        <v>6.5244028812700003</v>
      </c>
      <c r="AK15" s="8">
        <f t="shared" si="11"/>
        <v>-1.1941115868340653</v>
      </c>
      <c r="AL15" s="33">
        <f t="shared" si="12"/>
        <v>-0.15470743648516869</v>
      </c>
      <c r="AN15" s="23">
        <f>+_xlfn.XLOOKUP($B15,Revenue_FY25B!$B:$B,Revenue_FY25B!M:M,0)/1000</f>
        <v>7.9878828230695689</v>
      </c>
      <c r="AO15" s="25">
        <v>7.1245888099999988</v>
      </c>
      <c r="AP15" s="8">
        <f t="shared" si="13"/>
        <v>-0.8632940130695701</v>
      </c>
      <c r="AQ15" s="33">
        <f t="shared" si="14"/>
        <v>-0.10807544779904835</v>
      </c>
      <c r="AS15" s="23">
        <f>+_xlfn.XLOOKUP($B15,Revenue_FY25B!$B:$B,Revenue_FY25B!N:N,0)/1000</f>
        <v>8.6863840338197509</v>
      </c>
      <c r="AT15" s="25">
        <v>7.8516594227400001</v>
      </c>
      <c r="AU15" s="8">
        <f t="shared" si="15"/>
        <v>-0.83472461107975082</v>
      </c>
      <c r="AV15" s="33">
        <f t="shared" si="16"/>
        <v>-9.6095752597377279E-2</v>
      </c>
      <c r="AX15" s="23">
        <f>+_xlfn.XLOOKUP($B15,Revenue_FY25B!$B:$B,Revenue_FY25B!O:O,0)/1000</f>
        <v>8.1311452823806611</v>
      </c>
      <c r="AY15" s="25">
        <v>6.4329283200000003</v>
      </c>
      <c r="AZ15" s="8">
        <f t="shared" si="17"/>
        <v>-1.6982169623806609</v>
      </c>
      <c r="BA15" s="33">
        <f t="shared" si="18"/>
        <v>-0.20885335379021192</v>
      </c>
      <c r="BC15" s="23">
        <f>+_xlfn.XLOOKUP($B15,Revenue_FY25B!$B:$B,Revenue_FY25B!P:P,0)/1000</f>
        <v>8.7005597620541995</v>
      </c>
      <c r="BD15" s="25">
        <v>7.5327463999999997</v>
      </c>
      <c r="BE15" s="8">
        <f t="shared" si="19"/>
        <v>-1.1678133620541997</v>
      </c>
      <c r="BF15" s="33">
        <f t="shared" si="20"/>
        <v>-0.13422278496923734</v>
      </c>
      <c r="BH15" s="23">
        <f>+_xlfn.XLOOKUP($B15,Revenue_FY25B!$B:$B,Revenue_FY25B!Q:Q,0)/1000</f>
        <v>8.8038490262284927</v>
      </c>
      <c r="BI15" s="25">
        <v>7.05543298</v>
      </c>
      <c r="BJ15" s="8">
        <f t="shared" si="21"/>
        <v>-1.7484160462284928</v>
      </c>
      <c r="BK15" s="33">
        <f t="shared" si="22"/>
        <v>-0.19859677750261262</v>
      </c>
      <c r="BM15" s="38">
        <f>Revenue_FY25B!D8/1000</f>
        <v>101.82299999999999</v>
      </c>
      <c r="BN15" s="38">
        <f t="shared" ref="BN15" si="27">+F15+K15+P15+U15+Z15+AE15+AJ15+AO15+AT15+AY15+BD15+BI15</f>
        <v>90.400736514009992</v>
      </c>
      <c r="BO15" s="8">
        <f t="shared" si="23"/>
        <v>-11.422263485990001</v>
      </c>
      <c r="BP15" s="33">
        <f t="shared" si="24"/>
        <v>-0.11217763654567241</v>
      </c>
    </row>
    <row r="16" spans="2:68" x14ac:dyDescent="0.25">
      <c r="B16">
        <f>+MAX($B$1:B15)+1</f>
        <v>4</v>
      </c>
      <c r="C16" s="7" t="s">
        <v>59</v>
      </c>
      <c r="E16" s="23">
        <f>+_xlfn.XLOOKUP($B16,Revenue_FY25B!$B:$B,Revenue_FY25B!F:F,0)/1000</f>
        <v>5.0401152413615131</v>
      </c>
      <c r="F16" s="25">
        <v>4.6889990900000003</v>
      </c>
      <c r="G16" s="8">
        <f t="shared" si="0"/>
        <v>-0.35111615136151286</v>
      </c>
      <c r="H16" s="33">
        <f t="shared" si="25"/>
        <v>-6.9664310149119529E-2</v>
      </c>
      <c r="J16" s="23">
        <f>+_xlfn.XLOOKUP($B16,Revenue_FY25B!$B:$B,Revenue_FY25B!G:G,0)/1000</f>
        <v>5.038898653489186</v>
      </c>
      <c r="K16" s="25">
        <v>4.7085222499999997</v>
      </c>
      <c r="L16" s="8">
        <f t="shared" si="1"/>
        <v>-0.33037640348918629</v>
      </c>
      <c r="M16" s="33">
        <f t="shared" si="2"/>
        <v>-6.5565201090205916E-2</v>
      </c>
      <c r="O16" s="23">
        <f>+_xlfn.XLOOKUP($B16,Revenue_FY25B!$B:$B,Revenue_FY25B!H:H,0)/1000</f>
        <v>5.0379493046464185</v>
      </c>
      <c r="P16" s="25">
        <v>4.6752035000000003</v>
      </c>
      <c r="Q16" s="8">
        <f t="shared" si="3"/>
        <v>-0.36274580464641826</v>
      </c>
      <c r="R16" s="33">
        <f t="shared" si="4"/>
        <v>-7.2002670672343547E-2</v>
      </c>
      <c r="T16" s="23">
        <f>+_xlfn.XLOOKUP($B16,Revenue_FY25B!$B:$B,Revenue_FY25B!I:I,0)/1000</f>
        <v>5.0403527726913575</v>
      </c>
      <c r="U16" s="25">
        <v>4.6989122800000001</v>
      </c>
      <c r="V16" s="8">
        <f t="shared" si="5"/>
        <v>-0.34144049269135746</v>
      </c>
      <c r="W16" s="33">
        <f t="shared" si="6"/>
        <v>-6.7741387972144088E-2</v>
      </c>
      <c r="Y16" s="23">
        <f>+_xlfn.XLOOKUP($B16,Revenue_FY25B!$B:$B,Revenue_FY25B!J:J,0)/1000</f>
        <v>5.037395190597719</v>
      </c>
      <c r="Z16" s="25">
        <v>4.7109089500000003</v>
      </c>
      <c r="AA16" s="8">
        <f t="shared" si="7"/>
        <v>-0.32648624059771869</v>
      </c>
      <c r="AB16" s="33">
        <f t="shared" si="8"/>
        <v>-6.4812512865201469E-2</v>
      </c>
      <c r="AD16" s="23">
        <f>+_xlfn.XLOOKUP($B16,Revenue_FY25B!$B:$B,Revenue_FY25B!K:K,0)/1000</f>
        <v>5.0409988964665846</v>
      </c>
      <c r="AE16" s="25">
        <v>7.2042750900000003</v>
      </c>
      <c r="AF16" s="8">
        <f t="shared" si="9"/>
        <v>2.1632761935334157</v>
      </c>
      <c r="AG16" s="33">
        <f t="shared" si="10"/>
        <v>0.42913641481844661</v>
      </c>
      <c r="AI16" s="23">
        <f>+_xlfn.XLOOKUP($B16,Revenue_FY25B!$B:$B,Revenue_FY25B!L:L,0)/1000</f>
        <v>5.043401505352878</v>
      </c>
      <c r="AJ16" s="25">
        <v>5.0981321047399994</v>
      </c>
      <c r="AK16" s="8">
        <f t="shared" si="11"/>
        <v>5.4730599387121437E-2</v>
      </c>
      <c r="AL16" s="33">
        <f t="shared" si="12"/>
        <v>1.0851921927895771E-2</v>
      </c>
      <c r="AN16" s="23">
        <f>+_xlfn.XLOOKUP($B16,Revenue_FY25B!$B:$B,Revenue_FY25B!M:M,0)/1000</f>
        <v>5.0398000345471941</v>
      </c>
      <c r="AO16" s="25">
        <v>5.0967575099999998</v>
      </c>
      <c r="AP16" s="8">
        <f t="shared" si="13"/>
        <v>5.6957475452805717E-2</v>
      </c>
      <c r="AQ16" s="33">
        <f t="shared" si="14"/>
        <v>1.1301534795501687E-2</v>
      </c>
      <c r="AS16" s="23">
        <f>+_xlfn.XLOOKUP($B16,Revenue_FY25B!$B:$B,Revenue_FY25B!N:N,0)/1000</f>
        <v>5.0406568766663487</v>
      </c>
      <c r="AT16" s="25">
        <v>5.1292606720099991</v>
      </c>
      <c r="AU16" s="8">
        <f t="shared" si="15"/>
        <v>8.8603795343650482E-2</v>
      </c>
      <c r="AV16" s="33">
        <f t="shared" si="16"/>
        <v>1.7577827158560499E-2</v>
      </c>
      <c r="AX16" s="23">
        <f>+_xlfn.XLOOKUP($B16,Revenue_FY25B!$B:$B,Revenue_FY25B!O:O,0)/1000</f>
        <v>5.0401901644548488</v>
      </c>
      <c r="AY16" s="25">
        <v>5.1204934199999999</v>
      </c>
      <c r="AZ16" s="8">
        <f t="shared" si="17"/>
        <v>8.0303255545151053E-2</v>
      </c>
      <c r="BA16" s="33">
        <f t="shared" si="18"/>
        <v>1.5932584471014047E-2</v>
      </c>
      <c r="BC16" s="23">
        <f>+_xlfn.XLOOKUP($B16,Revenue_FY25B!$B:$B,Revenue_FY25B!P:P,0)/1000</f>
        <v>5.0398628781274919</v>
      </c>
      <c r="BD16" s="25">
        <v>5.1000623599999999</v>
      </c>
      <c r="BE16" s="8">
        <f t="shared" si="19"/>
        <v>6.0199481872508009E-2</v>
      </c>
      <c r="BF16" s="33">
        <f t="shared" si="20"/>
        <v>1.1944666616579556E-2</v>
      </c>
      <c r="BH16" s="23">
        <f>+_xlfn.XLOOKUP($B16,Revenue_FY25B!$B:$B,Revenue_FY25B!Q:Q,0)/1000</f>
        <v>5.037138017838263</v>
      </c>
      <c r="BI16" s="25">
        <v>5.1155128599999999</v>
      </c>
      <c r="BJ16" s="8">
        <f t="shared" si="21"/>
        <v>7.8374842161736957E-2</v>
      </c>
      <c r="BK16" s="33">
        <f t="shared" si="22"/>
        <v>1.5559399381987212E-2</v>
      </c>
      <c r="BM16" s="38">
        <f>Revenue_FY25B!D9/1000</f>
        <v>60.476999999999997</v>
      </c>
      <c r="BN16" s="38">
        <f t="shared" ref="BN16" si="28">+F16+K16+P16+U16+Z16+AE16+AJ16+AO16+AT16+AY16+BD16+BI16</f>
        <v>61.347040086750006</v>
      </c>
      <c r="BO16" s="8">
        <f t="shared" si="23"/>
        <v>0.87004008675000932</v>
      </c>
      <c r="BP16" s="33">
        <f t="shared" si="24"/>
        <v>1.4386297050945141E-2</v>
      </c>
    </row>
    <row r="17" spans="2:68" x14ac:dyDescent="0.25">
      <c r="B17">
        <f>+MAX($B$1:B16)+1</f>
        <v>5</v>
      </c>
      <c r="C17" s="7" t="s">
        <v>60</v>
      </c>
      <c r="E17" s="23">
        <f>+_xlfn.XLOOKUP($B17,Revenue_FY25B!$B:$B,Revenue_FY25B!F:F,0)/1000</f>
        <v>0.1834304988955362</v>
      </c>
      <c r="F17" s="25">
        <v>0.14307786000000017</v>
      </c>
      <c r="G17" s="8">
        <f t="shared" si="0"/>
        <v>-4.035263889553603E-2</v>
      </c>
      <c r="H17" s="33">
        <f t="shared" si="25"/>
        <v>-0.21998871037534978</v>
      </c>
      <c r="J17" s="23">
        <f>+_xlfn.XLOOKUP($B17,Revenue_FY25B!$B:$B,Revenue_FY25B!G:G,0)/1000</f>
        <v>0.16213080595807636</v>
      </c>
      <c r="K17" s="25">
        <v>0.17029754</v>
      </c>
      <c r="L17" s="8">
        <f t="shared" si="1"/>
        <v>8.1667340419236401E-3</v>
      </c>
      <c r="M17" s="33">
        <f t="shared" si="2"/>
        <v>5.0371266544097654E-2</v>
      </c>
      <c r="O17" s="23">
        <f>+_xlfn.XLOOKUP($B17,Revenue_FY25B!$B:$B,Revenue_FY25B!H:H,0)/1000</f>
        <v>0.15724211646972328</v>
      </c>
      <c r="P17" s="25">
        <v>0.17263612</v>
      </c>
      <c r="Q17" s="8">
        <f t="shared" si="3"/>
        <v>1.5394003530276729E-2</v>
      </c>
      <c r="R17" s="33">
        <f t="shared" si="4"/>
        <v>9.7900002085260784E-2</v>
      </c>
      <c r="T17" s="23">
        <f>+_xlfn.XLOOKUP($B17,Revenue_FY25B!$B:$B,Revenue_FY25B!I:I,0)/1000</f>
        <v>0.17469628084709501</v>
      </c>
      <c r="U17" s="25">
        <v>0.15493721999999999</v>
      </c>
      <c r="V17" s="8">
        <f t="shared" si="5"/>
        <v>-1.9759060847095028E-2</v>
      </c>
      <c r="W17" s="33">
        <f t="shared" si="6"/>
        <v>-0.11310521753115843</v>
      </c>
      <c r="Y17" s="23">
        <f>+_xlfn.XLOOKUP($B17,Revenue_FY25B!$B:$B,Revenue_FY25B!J:J,0)/1000</f>
        <v>0.15652823322316484</v>
      </c>
      <c r="Z17" s="25">
        <v>0.15678333</v>
      </c>
      <c r="AA17" s="8">
        <f t="shared" si="7"/>
        <v>2.5509677683516196E-4</v>
      </c>
      <c r="AB17" s="33">
        <f t="shared" si="8"/>
        <v>1.6297173460807315E-3</v>
      </c>
      <c r="AD17" s="23">
        <f>+_xlfn.XLOOKUP($B17,Revenue_FY25B!$B:$B,Revenue_FY25B!K:K,0)/1000</f>
        <v>0.14698691112996307</v>
      </c>
      <c r="AE17" s="25">
        <v>0.15037055999999999</v>
      </c>
      <c r="AF17" s="8">
        <f t="shared" si="9"/>
        <v>3.3836488700369205E-3</v>
      </c>
      <c r="AG17" s="33">
        <f t="shared" si="10"/>
        <v>2.3020069229464667E-2</v>
      </c>
      <c r="AI17" s="23">
        <f>+_xlfn.XLOOKUP($B17,Revenue_FY25B!$B:$B,Revenue_FY25B!L:L,0)/1000</f>
        <v>0.15145698812823841</v>
      </c>
      <c r="AJ17" s="25">
        <v>0.14400050894000002</v>
      </c>
      <c r="AK17" s="8">
        <f t="shared" si="11"/>
        <v>-7.4564791882383852E-3</v>
      </c>
      <c r="AL17" s="33">
        <f t="shared" si="12"/>
        <v>-4.9231661611579096E-2</v>
      </c>
      <c r="AN17" s="23">
        <f>+_xlfn.XLOOKUP($B17,Revenue_FY25B!$B:$B,Revenue_FY25B!M:M,0)/1000</f>
        <v>0.12907160597206108</v>
      </c>
      <c r="AO17" s="25">
        <v>0.15056380999999999</v>
      </c>
      <c r="AP17" s="8">
        <f t="shared" si="13"/>
        <v>2.1492204027938916E-2</v>
      </c>
      <c r="AQ17" s="33">
        <f t="shared" si="14"/>
        <v>0.16651380345101721</v>
      </c>
      <c r="AS17" s="23">
        <f>+_xlfn.XLOOKUP($B17,Revenue_FY25B!$B:$B,Revenue_FY25B!N:N,0)/1000</f>
        <v>0.15266970474397684</v>
      </c>
      <c r="AT17" s="25">
        <v>0.17693610465999998</v>
      </c>
      <c r="AU17" s="8">
        <f t="shared" si="15"/>
        <v>2.426639991602314E-2</v>
      </c>
      <c r="AV17" s="33">
        <f t="shared" si="16"/>
        <v>0.15894705473307405</v>
      </c>
      <c r="AX17" s="23">
        <f>+_xlfn.XLOOKUP($B17,Revenue_FY25B!$B:$B,Revenue_FY25B!O:O,0)/1000</f>
        <v>0.15361151375942861</v>
      </c>
      <c r="AY17" s="25">
        <v>0.15968604</v>
      </c>
      <c r="AZ17" s="8">
        <f t="shared" si="17"/>
        <v>6.0745262405713929E-3</v>
      </c>
      <c r="BA17" s="33">
        <f t="shared" si="18"/>
        <v>3.9544732630424594E-2</v>
      </c>
      <c r="BC17" s="23">
        <f>+_xlfn.XLOOKUP($B17,Revenue_FY25B!$B:$B,Revenue_FY25B!P:P,0)/1000</f>
        <v>0.1500959814319951</v>
      </c>
      <c r="BD17" s="25">
        <v>0.15174888</v>
      </c>
      <c r="BE17" s="8">
        <f t="shared" si="19"/>
        <v>1.6528985680049069E-3</v>
      </c>
      <c r="BF17" s="33">
        <f t="shared" si="20"/>
        <v>1.1012277292405698E-2</v>
      </c>
      <c r="BH17" s="23">
        <f>+_xlfn.XLOOKUP($B17,Revenue_FY25B!$B:$B,Revenue_FY25B!Q:Q,0)/1000</f>
        <v>0.17550571760882641</v>
      </c>
      <c r="BI17" s="25">
        <v>0.16932251000000001</v>
      </c>
      <c r="BJ17" s="8">
        <f t="shared" si="21"/>
        <v>-6.1832076088264021E-3</v>
      </c>
      <c r="BK17" s="33">
        <f t="shared" si="22"/>
        <v>-3.5230804403807298E-2</v>
      </c>
      <c r="BM17" s="38">
        <f>Revenue_FY25B!D10/1000</f>
        <v>1.893</v>
      </c>
      <c r="BN17" s="38">
        <f t="shared" ref="BN17" si="29">+F17+K17+P17+U17+Z17+AE17+AJ17+AO17+AT17+AY17+BD17+BI17</f>
        <v>1.9003604836000001</v>
      </c>
      <c r="BO17" s="8">
        <f t="shared" si="23"/>
        <v>7.3604836000000784E-3</v>
      </c>
      <c r="BP17" s="33">
        <f t="shared" si="24"/>
        <v>3.8882639197042146E-3</v>
      </c>
    </row>
    <row r="18" spans="2:68" x14ac:dyDescent="0.25">
      <c r="B18">
        <f>+MAX($B$1:B17)+1</f>
        <v>6</v>
      </c>
      <c r="C18" s="7" t="s">
        <v>61</v>
      </c>
      <c r="E18" s="23">
        <f>+_xlfn.XLOOKUP($B18,Revenue_FY25B!$B:$B,Revenue_FY25B!F:F,0)/1000</f>
        <v>0.19717164034266299</v>
      </c>
      <c r="F18" s="25">
        <v>0.16427745999999999</v>
      </c>
      <c r="G18" s="8">
        <f t="shared" si="0"/>
        <v>-3.2894180342663004E-2</v>
      </c>
      <c r="H18" s="33">
        <f t="shared" si="25"/>
        <v>-0.16683018047370543</v>
      </c>
      <c r="J18" s="23">
        <f>+_xlfn.XLOOKUP($B18,Revenue_FY25B!$B:$B,Revenue_FY25B!G:G,0)/1000</f>
        <v>0.19404239068086082</v>
      </c>
      <c r="K18" s="25">
        <v>0.17575245</v>
      </c>
      <c r="L18" s="8">
        <f t="shared" si="1"/>
        <v>-1.8289940680860817E-2</v>
      </c>
      <c r="M18" s="33">
        <f t="shared" si="2"/>
        <v>-9.4257448677500896E-2</v>
      </c>
      <c r="O18" s="23">
        <f>+_xlfn.XLOOKUP($B18,Revenue_FY25B!$B:$B,Revenue_FY25B!H:H,0)/1000</f>
        <v>0.19464328996319824</v>
      </c>
      <c r="P18" s="25">
        <v>0.15997080999999999</v>
      </c>
      <c r="Q18" s="8">
        <f t="shared" si="3"/>
        <v>-3.4672479963198249E-2</v>
      </c>
      <c r="R18" s="33">
        <f t="shared" si="4"/>
        <v>-0.17813344590380625</v>
      </c>
      <c r="T18" s="23">
        <f>+_xlfn.XLOOKUP($B18,Revenue_FY25B!$B:$B,Revenue_FY25B!I:I,0)/1000</f>
        <v>0.1997785490738293</v>
      </c>
      <c r="U18" s="25">
        <v>0.16860818</v>
      </c>
      <c r="V18" s="8">
        <f t="shared" si="5"/>
        <v>-3.1170369073829307E-2</v>
      </c>
      <c r="W18" s="33">
        <f t="shared" si="6"/>
        <v>-0.15602460433482335</v>
      </c>
      <c r="Y18" s="23">
        <f>+_xlfn.XLOOKUP($B18,Revenue_FY25B!$B:$B,Revenue_FY25B!J:J,0)/1000</f>
        <v>0.19436426476632912</v>
      </c>
      <c r="Z18" s="25">
        <v>0.18396703</v>
      </c>
      <c r="AA18" s="8">
        <f t="shared" si="7"/>
        <v>-1.0397234766329116E-2</v>
      </c>
      <c r="AB18" s="33">
        <f t="shared" si="8"/>
        <v>-5.349355129055746E-2</v>
      </c>
      <c r="AD18" s="23">
        <f>+_xlfn.XLOOKUP($B18,Revenue_FY25B!$B:$B,Revenue_FY25B!K:K,0)/1000</f>
        <v>0.19020034621738952</v>
      </c>
      <c r="AE18" s="25">
        <f>0.15011191</f>
        <v>0.15011190999999999</v>
      </c>
      <c r="AF18" s="8">
        <f t="shared" si="9"/>
        <v>-4.0088436217389528E-2</v>
      </c>
      <c r="AG18" s="33">
        <f t="shared" si="10"/>
        <v>-0.21076952284603334</v>
      </c>
      <c r="AI18" s="23">
        <f>+_xlfn.XLOOKUP($B18,Revenue_FY25B!$B:$B,Revenue_FY25B!L:L,0)/1000</f>
        <v>0.18793592431685363</v>
      </c>
      <c r="AJ18" s="25">
        <v>0.14386382</v>
      </c>
      <c r="AK18" s="8">
        <f t="shared" si="11"/>
        <v>-4.4072104316853628E-2</v>
      </c>
      <c r="AL18" s="33">
        <f t="shared" si="12"/>
        <v>-0.23450601303106661</v>
      </c>
      <c r="AN18" s="23">
        <f>+_xlfn.XLOOKUP($B18,Revenue_FY25B!$B:$B,Revenue_FY25B!M:M,0)/1000</f>
        <v>0.16590019505469106</v>
      </c>
      <c r="AO18" s="25">
        <v>0.13148667999999999</v>
      </c>
      <c r="AP18" s="8">
        <f t="shared" si="13"/>
        <v>-3.4413515054691063E-2</v>
      </c>
      <c r="AQ18" s="33">
        <f t="shared" si="14"/>
        <v>-0.20743504878548347</v>
      </c>
      <c r="AS18" s="23">
        <f>+_xlfn.XLOOKUP($B18,Revenue_FY25B!$B:$B,Revenue_FY25B!N:N,0)/1000</f>
        <v>0.17247541379857106</v>
      </c>
      <c r="AT18" s="25">
        <v>0.15294611</v>
      </c>
      <c r="AU18" s="8">
        <f t="shared" si="15"/>
        <v>-1.9529303798571068E-2</v>
      </c>
      <c r="AV18" s="33">
        <f t="shared" si="16"/>
        <v>-0.11322949380703481</v>
      </c>
      <c r="AX18" s="23">
        <f>+_xlfn.XLOOKUP($B18,Revenue_FY25B!$B:$B,Revenue_FY25B!O:O,0)/1000</f>
        <v>0.16833100597630912</v>
      </c>
      <c r="AY18" s="25">
        <v>0.14679876</v>
      </c>
      <c r="AZ18" s="8">
        <f t="shared" si="17"/>
        <v>-2.1532245976309122E-2</v>
      </c>
      <c r="BA18" s="33">
        <f t="shared" si="18"/>
        <v>-0.1279161010856168</v>
      </c>
      <c r="BC18" s="23">
        <f>+_xlfn.XLOOKUP($B18,Revenue_FY25B!$B:$B,Revenue_FY25B!P:P,0)/1000</f>
        <v>0.20249931875964022</v>
      </c>
      <c r="BD18" s="25">
        <v>0.16238865999999999</v>
      </c>
      <c r="BE18" s="8">
        <f t="shared" si="19"/>
        <v>-4.0110658759640233E-2</v>
      </c>
      <c r="BF18" s="33">
        <f t="shared" si="20"/>
        <v>-0.1980779935721671</v>
      </c>
      <c r="BH18" s="23">
        <f>+_xlfn.XLOOKUP($B18,Revenue_FY25B!$B:$B,Revenue_FY25B!Q:Q,0)/1000</f>
        <v>0.19720917495766505</v>
      </c>
      <c r="BI18" s="25">
        <v>0.16627997999999999</v>
      </c>
      <c r="BJ18" s="8">
        <f t="shared" si="21"/>
        <v>-3.0929194957665052E-2</v>
      </c>
      <c r="BK18" s="33">
        <f t="shared" si="22"/>
        <v>-0.15683446251577612</v>
      </c>
      <c r="BM18" s="38">
        <f>Revenue_FY25B!D11/1000</f>
        <v>2.2650000000000001</v>
      </c>
      <c r="BN18" s="38">
        <f t="shared" ref="BN18" si="30">+F18+K18+P18+U18+Z18+AE18+AJ18+AO18+AT18+AY18+BD18+BI18</f>
        <v>1.9064518499999998</v>
      </c>
      <c r="BO18" s="8">
        <f t="shared" si="23"/>
        <v>-0.35854815000000029</v>
      </c>
      <c r="BP18" s="33">
        <f t="shared" si="24"/>
        <v>-0.15829940397351006</v>
      </c>
    </row>
    <row r="19" spans="2:68" s="5" customFormat="1" x14ac:dyDescent="0.25">
      <c r="C19" s="10" t="s">
        <v>62</v>
      </c>
      <c r="E19" s="24">
        <f>SUM(E13:E18)</f>
        <v>102.68837181034701</v>
      </c>
      <c r="F19" s="24">
        <f>SUM(F13:F18)</f>
        <v>103.12188678999998</v>
      </c>
      <c r="G19" s="24">
        <f t="shared" si="0"/>
        <v>0.43351497965296915</v>
      </c>
      <c r="H19" s="34">
        <f t="shared" si="25"/>
        <v>4.221655987044169E-3</v>
      </c>
      <c r="J19" s="24">
        <f>SUM(J13:J18)</f>
        <v>101.49618867304055</v>
      </c>
      <c r="K19" s="24">
        <f>SUM(K13:K18)</f>
        <v>100.87977421000001</v>
      </c>
      <c r="L19" s="24">
        <f t="shared" si="1"/>
        <v>-0.6164144630405417</v>
      </c>
      <c r="M19" s="34">
        <f t="shared" si="2"/>
        <v>-6.0732769486178144E-3</v>
      </c>
      <c r="O19" s="24">
        <f>SUM(O13:O18)</f>
        <v>100.42293870338102</v>
      </c>
      <c r="P19" s="24">
        <f>SUM(P13:P18)</f>
        <v>97.853223620000009</v>
      </c>
      <c r="Q19" s="24">
        <f t="shared" si="3"/>
        <v>-2.5697150833810127</v>
      </c>
      <c r="R19" s="34">
        <f t="shared" si="4"/>
        <v>-2.5588925364663683E-2</v>
      </c>
      <c r="T19" s="24">
        <f>SUM(T13:T18)</f>
        <v>101.83286801803068</v>
      </c>
      <c r="U19" s="24">
        <f>SUM(U13:U18)</f>
        <v>106.53445812</v>
      </c>
      <c r="V19" s="24">
        <f t="shared" si="5"/>
        <v>4.701590101969316</v>
      </c>
      <c r="W19" s="34">
        <f t="shared" si="6"/>
        <v>4.6169671869958975E-2</v>
      </c>
      <c r="Y19" s="24">
        <f>SUM(Y13:Y18)</f>
        <v>95.362233121010306</v>
      </c>
      <c r="Z19" s="24">
        <f>SUM(Z13:Z18)</f>
        <v>96.414254340000014</v>
      </c>
      <c r="AA19" s="24">
        <f t="shared" si="7"/>
        <v>1.052021218989708</v>
      </c>
      <c r="AB19" s="34">
        <f t="shared" si="8"/>
        <v>1.1031843367748543E-2</v>
      </c>
      <c r="AD19" s="24">
        <f>SUM(AD13:AD18)</f>
        <v>93.525602972891519</v>
      </c>
      <c r="AE19" s="24">
        <f>SUM(AE13:AE18)</f>
        <v>96.961043440000012</v>
      </c>
      <c r="AF19" s="24">
        <f t="shared" si="9"/>
        <v>3.4354404671084922</v>
      </c>
      <c r="AG19" s="34">
        <f t="shared" si="10"/>
        <v>3.6732620351073893E-2</v>
      </c>
      <c r="AI19" s="24">
        <f>SUM(AI13:AI18)</f>
        <v>89.00237963375514</v>
      </c>
      <c r="AJ19" s="24">
        <f>SUM(AJ13:AJ18)</f>
        <v>84.310331920590016</v>
      </c>
      <c r="AK19" s="24">
        <f t="shared" si="11"/>
        <v>-4.6920477131651239</v>
      </c>
      <c r="AL19" s="34">
        <f t="shared" si="12"/>
        <v>-5.2718227675180189E-2</v>
      </c>
      <c r="AN19" s="24">
        <f>SUM(AN13:AN18)</f>
        <v>83.581971778105114</v>
      </c>
      <c r="AO19" s="24">
        <f>SUM(AO13:AO18)</f>
        <v>77.034648070000003</v>
      </c>
      <c r="AP19" s="24">
        <f t="shared" si="13"/>
        <v>-6.547323708105111</v>
      </c>
      <c r="AQ19" s="34">
        <f t="shared" si="14"/>
        <v>-7.8334161887052167E-2</v>
      </c>
      <c r="AS19" s="24">
        <f>SUM(AS13:AS18)</f>
        <v>93.807526874347161</v>
      </c>
      <c r="AT19" s="24">
        <f>SUM(AT13:AT18)</f>
        <v>88.521849943680024</v>
      </c>
      <c r="AU19" s="24">
        <f t="shared" si="15"/>
        <v>-5.2856769306671367</v>
      </c>
      <c r="AV19" s="34">
        <f t="shared" si="16"/>
        <v>-5.6345978907931013E-2</v>
      </c>
      <c r="AX19" s="24">
        <f>SUM(AX13:AX18)</f>
        <v>92.481319156229588</v>
      </c>
      <c r="AY19" s="24">
        <f>SUM(AY13:AY18)</f>
        <v>89.045079239999993</v>
      </c>
      <c r="AZ19" s="24">
        <f t="shared" si="17"/>
        <v>-3.4362399162295958</v>
      </c>
      <c r="BA19" s="34">
        <f t="shared" si="18"/>
        <v>-3.7156043486195549E-2</v>
      </c>
      <c r="BC19" s="24">
        <f>SUM(BC13:BC18)</f>
        <v>98.694352907208568</v>
      </c>
      <c r="BD19" s="24">
        <f>SUM(BD13:BD18)</f>
        <v>90.529743999999994</v>
      </c>
      <c r="BE19" s="24">
        <f t="shared" si="19"/>
        <v>-8.1646089072085744</v>
      </c>
      <c r="BF19" s="34">
        <f t="shared" si="20"/>
        <v>-8.2726201314525641E-2</v>
      </c>
      <c r="BH19" s="24">
        <f>SUM(BH13:BH18)</f>
        <v>98.560358244793093</v>
      </c>
      <c r="BI19" s="24">
        <f>SUM(BI13:BI18)</f>
        <v>98.599022430000005</v>
      </c>
      <c r="BJ19" s="24">
        <f t="shared" si="21"/>
        <v>3.8664185206911839E-2</v>
      </c>
      <c r="BK19" s="34">
        <f t="shared" si="22"/>
        <v>3.9228941427832577E-4</v>
      </c>
      <c r="BM19" s="24">
        <f>SUM(BM13:BM18)</f>
        <v>1151.4560000000001</v>
      </c>
      <c r="BN19" s="24">
        <f>SUM(BN13:BN18)</f>
        <v>1129.8053161242699</v>
      </c>
      <c r="BO19" s="24">
        <f t="shared" si="23"/>
        <v>-21.650683875730238</v>
      </c>
      <c r="BP19" s="34">
        <f t="shared" si="24"/>
        <v>-1.8802875555583742E-2</v>
      </c>
    </row>
    <row r="20" spans="2:68" x14ac:dyDescent="0.25">
      <c r="C20" s="5"/>
      <c r="D20" s="5"/>
      <c r="E20" s="14"/>
      <c r="F20" s="13"/>
      <c r="G20" s="14"/>
      <c r="H20" s="11"/>
      <c r="I20" s="5"/>
      <c r="J20" s="14"/>
      <c r="K20" s="13"/>
      <c r="L20" s="14"/>
      <c r="M20" s="11"/>
      <c r="N20" s="5"/>
      <c r="O20" s="14"/>
      <c r="P20" s="13"/>
      <c r="Q20" s="14"/>
      <c r="R20" s="11"/>
      <c r="S20" s="5"/>
      <c r="T20" s="14"/>
      <c r="U20" s="13"/>
      <c r="V20" s="14"/>
      <c r="W20" s="11"/>
      <c r="X20" s="5"/>
      <c r="Y20" s="14"/>
      <c r="Z20" s="13"/>
      <c r="AA20" s="14"/>
      <c r="AB20" s="11"/>
      <c r="AC20" s="5"/>
      <c r="AD20" s="14"/>
      <c r="AE20" s="13"/>
      <c r="AF20" s="14"/>
      <c r="AG20" s="11"/>
      <c r="AH20" s="5"/>
      <c r="AI20" s="14"/>
      <c r="AJ20" s="13"/>
      <c r="AK20" s="14"/>
      <c r="AL20" s="11"/>
      <c r="AM20" s="5"/>
      <c r="AN20" s="14"/>
      <c r="AO20" s="13"/>
      <c r="AP20" s="14"/>
      <c r="AQ20" s="11"/>
      <c r="AR20" s="5"/>
      <c r="AS20" s="14"/>
      <c r="AT20" s="13"/>
      <c r="AU20" s="14"/>
      <c r="AV20" s="11"/>
      <c r="AW20" s="5"/>
      <c r="AX20" s="14"/>
      <c r="AY20" s="13"/>
      <c r="AZ20" s="14"/>
      <c r="BA20" s="11"/>
      <c r="BB20" s="5"/>
      <c r="BC20" s="14"/>
      <c r="BD20" s="13"/>
      <c r="BE20" s="14"/>
      <c r="BF20" s="11"/>
      <c r="BG20" s="5"/>
      <c r="BH20" s="14"/>
      <c r="BI20" s="13"/>
      <c r="BJ20" s="14"/>
      <c r="BK20" s="11"/>
      <c r="BL20" s="5"/>
      <c r="BM20" s="14"/>
      <c r="BN20" s="13"/>
      <c r="BO20" s="14"/>
      <c r="BP20" s="11"/>
    </row>
    <row r="21" spans="2:68" x14ac:dyDescent="0.25">
      <c r="C21" s="6" t="s">
        <v>32</v>
      </c>
      <c r="D21" s="6"/>
      <c r="E21" s="14"/>
      <c r="F21" s="13"/>
      <c r="G21" s="14"/>
      <c r="H21" s="11"/>
      <c r="I21" s="6"/>
      <c r="J21" s="14"/>
      <c r="K21" s="13"/>
      <c r="L21" s="14"/>
      <c r="M21" s="11"/>
      <c r="N21" s="6"/>
      <c r="O21" s="14"/>
      <c r="P21" s="13"/>
      <c r="Q21" s="14"/>
      <c r="R21" s="11"/>
      <c r="S21" s="6"/>
      <c r="T21" s="14"/>
      <c r="U21" s="13"/>
      <c r="V21" s="14"/>
      <c r="W21" s="11"/>
      <c r="X21" s="6"/>
      <c r="Y21" s="14"/>
      <c r="Z21" s="13"/>
      <c r="AA21" s="14"/>
      <c r="AB21" s="11"/>
      <c r="AC21" s="6"/>
      <c r="AD21" s="14"/>
      <c r="AE21" s="13"/>
      <c r="AF21" s="14"/>
      <c r="AG21" s="11"/>
      <c r="AH21" s="6"/>
      <c r="AI21" s="14"/>
      <c r="AJ21" s="13"/>
      <c r="AK21" s="14"/>
      <c r="AL21" s="11"/>
      <c r="AM21" s="6"/>
      <c r="AN21" s="14"/>
      <c r="AO21" s="13"/>
      <c r="AP21" s="14"/>
      <c r="AQ21" s="11"/>
      <c r="AR21" s="6"/>
      <c r="AS21" s="14"/>
      <c r="AT21" s="13"/>
      <c r="AU21" s="14"/>
      <c r="AV21" s="11"/>
      <c r="AW21" s="6"/>
      <c r="AX21" s="14"/>
      <c r="AY21" s="13"/>
      <c r="AZ21" s="14"/>
      <c r="BA21" s="11"/>
      <c r="BB21" s="6"/>
      <c r="BC21" s="14"/>
      <c r="BD21" s="13"/>
      <c r="BE21" s="14"/>
      <c r="BF21" s="11"/>
      <c r="BG21" s="6"/>
      <c r="BH21" s="14"/>
      <c r="BI21" s="13"/>
      <c r="BJ21" s="14"/>
      <c r="BK21" s="11"/>
      <c r="BL21" s="6"/>
      <c r="BM21" s="14"/>
      <c r="BN21" s="13"/>
      <c r="BO21" s="14"/>
      <c r="BP21" s="11"/>
    </row>
    <row r="22" spans="2:68" x14ac:dyDescent="0.25">
      <c r="B22">
        <f>+MAX($B$1:B21)+1</f>
        <v>7</v>
      </c>
      <c r="C22" s="7" t="s">
        <v>56</v>
      </c>
      <c r="E22" s="23">
        <f>+_xlfn.XLOOKUP($B22,Revenue_FY25B!$B:$B,Revenue_FY25B!F:F,0)/1000</f>
        <v>94.680872217431002</v>
      </c>
      <c r="F22" s="25">
        <v>132.44235092857934</v>
      </c>
      <c r="G22" s="8">
        <f t="shared" ref="G22:G28" si="31">F22-E22</f>
        <v>37.761478711148342</v>
      </c>
      <c r="H22" s="33">
        <f t="shared" ref="H22:H28" si="32">IFERROR(G22/E22,"n.a.")</f>
        <v>0.39882901188775016</v>
      </c>
      <c r="J22" s="23">
        <f>+_xlfn.XLOOKUP($B22,Revenue_FY25B!$B:$B,Revenue_FY25B!G:G,0)/1000</f>
        <v>92.156619421039323</v>
      </c>
      <c r="K22" s="25">
        <v>118.88090723480107</v>
      </c>
      <c r="L22" s="8">
        <f t="shared" ref="L22:L28" si="33">K22-J22</f>
        <v>26.724287813761748</v>
      </c>
      <c r="M22" s="33">
        <f t="shared" ref="M22:M28" si="34">IFERROR(L22/J22,"n.a.")</f>
        <v>0.2899877185345256</v>
      </c>
      <c r="O22" s="23">
        <f>+_xlfn.XLOOKUP($B22,Revenue_FY25B!$B:$B,Revenue_FY25B!H:H,0)/1000</f>
        <v>89.153133470244455</v>
      </c>
      <c r="P22" s="25">
        <v>100.59857468</v>
      </c>
      <c r="Q22" s="8">
        <f t="shared" ref="Q22:Q28" si="35">P22-O22</f>
        <v>11.445441209755543</v>
      </c>
      <c r="R22" s="33">
        <f t="shared" ref="R22:R28" si="36">IFERROR(Q22/O22,"n.a.")</f>
        <v>0.12837957303626965</v>
      </c>
      <c r="T22" s="23">
        <f>+_xlfn.XLOOKUP($B22,Revenue_FY25B!$B:$B,Revenue_FY25B!I:I,0)/1000</f>
        <v>91.546975267311424</v>
      </c>
      <c r="U22" s="25">
        <v>90.115137820000001</v>
      </c>
      <c r="V22" s="8">
        <f t="shared" ref="V22:V28" si="37">U22-T22</f>
        <v>-1.4318374473114233</v>
      </c>
      <c r="W22" s="33">
        <f t="shared" ref="W22:W28" si="38">IFERROR(V22/T22,"n.a.")</f>
        <v>-1.5640467018495672E-2</v>
      </c>
      <c r="Y22" s="23">
        <f>+_xlfn.XLOOKUP($B22,Revenue_FY25B!$B:$B,Revenue_FY25B!J:J,0)/1000</f>
        <v>80.260909860790491</v>
      </c>
      <c r="Z22" s="25">
        <v>61.415866950000002</v>
      </c>
      <c r="AA22" s="8">
        <f t="shared" ref="AA22:AA28" si="39">Z22-Y22</f>
        <v>-18.84504291079049</v>
      </c>
      <c r="AB22" s="33">
        <f t="shared" ref="AB22:AB28" si="40">IFERROR(AA22/Y22,"n.a.")</f>
        <v>-0.23479727483125351</v>
      </c>
      <c r="AD22" s="23">
        <f>+_xlfn.XLOOKUP($B22,Revenue_FY25B!$B:$B,Revenue_FY25B!K:K,0)/1000</f>
        <v>78.197298248319967</v>
      </c>
      <c r="AE22" s="25">
        <v>71.370901660000001</v>
      </c>
      <c r="AF22" s="8">
        <f t="shared" ref="AF22:AF28" si="41">AE22-AD22</f>
        <v>-6.826396588319966</v>
      </c>
      <c r="AG22" s="33">
        <f t="shared" ref="AG22:AG28" si="42">IFERROR(AF22/AD22,"n.a.")</f>
        <v>-8.7297090068794395E-2</v>
      </c>
      <c r="AI22" s="23">
        <f>+_xlfn.XLOOKUP($B22,Revenue_FY25B!$B:$B,Revenue_FY25B!L:L,0)/1000</f>
        <v>77.907770274391581</v>
      </c>
      <c r="AJ22" s="25">
        <v>94.8354112899749</v>
      </c>
      <c r="AK22" s="8">
        <f t="shared" ref="AK22:AK28" si="43">AJ22-AI22</f>
        <v>16.927641015583319</v>
      </c>
      <c r="AL22" s="33">
        <f t="shared" ref="AL22:AL28" si="44">IFERROR(AK22/AI22,"n.a.")</f>
        <v>0.2172779551508672</v>
      </c>
      <c r="AN22" s="23">
        <f>+_xlfn.XLOOKUP($B22,Revenue_FY25B!$B:$B,Revenue_FY25B!M:M,0)/1000</f>
        <v>66.409084141047714</v>
      </c>
      <c r="AO22" s="25">
        <v>79.425616476941258</v>
      </c>
      <c r="AP22" s="8">
        <f t="shared" ref="AP22:AP28" si="45">AO22-AN22</f>
        <v>13.016532335893544</v>
      </c>
      <c r="AQ22" s="33">
        <f t="shared" ref="AQ22:AQ28" si="46">IFERROR(AP22/AN22,"n.a.")</f>
        <v>0.19600529813432518</v>
      </c>
      <c r="AS22" s="23">
        <f>+_xlfn.XLOOKUP($B22,Revenue_FY25B!$B:$B,Revenue_FY25B!N:N,0)/1000</f>
        <v>76.64704163781596</v>
      </c>
      <c r="AT22" s="25">
        <v>96.258654653348174</v>
      </c>
      <c r="AU22" s="8">
        <f t="shared" ref="AU22:AU28" si="47">AT22-AS22</f>
        <v>19.611613015532214</v>
      </c>
      <c r="AV22" s="33">
        <f t="shared" ref="AV22:AV28" si="48">IFERROR(AU22/AS22,"n.a.")</f>
        <v>0.25586914506373165</v>
      </c>
      <c r="AX22" s="23">
        <f>+_xlfn.XLOOKUP($B22,Revenue_FY25B!$B:$B,Revenue_FY25B!O:O,0)/1000</f>
        <v>73.163370047029645</v>
      </c>
      <c r="AY22" s="25">
        <v>74.013981049999998</v>
      </c>
      <c r="AZ22" s="8">
        <f t="shared" ref="AZ22:AZ28" si="49">AY22-AX22</f>
        <v>0.85061100297035352</v>
      </c>
      <c r="BA22" s="33">
        <f t="shared" ref="BA22:BA28" si="50">IFERROR(AZ22/AX22,"n.a.")</f>
        <v>1.1626186743770524E-2</v>
      </c>
      <c r="BC22" s="23">
        <f>+_xlfn.XLOOKUP($B22,Revenue_FY25B!$B:$B,Revenue_FY25B!P:P,0)/1000</f>
        <v>85.525024331965696</v>
      </c>
      <c r="BD22" s="25">
        <v>87.050082570000001</v>
      </c>
      <c r="BE22" s="8">
        <f t="shared" ref="BE22:BE28" si="51">BD22-BC22</f>
        <v>1.5250582380343047</v>
      </c>
      <c r="BF22" s="33">
        <f t="shared" ref="BF22:BF28" si="52">IFERROR(BE22/BC22,"n.a.")</f>
        <v>1.7831719428863132E-2</v>
      </c>
      <c r="BH22" s="23">
        <f>+_xlfn.XLOOKUP($B22,Revenue_FY25B!$B:$B,Revenue_FY25B!Q:Q,0)/1000</f>
        <v>85.936691536115745</v>
      </c>
      <c r="BI22" s="25">
        <v>101.56348979000001</v>
      </c>
      <c r="BJ22" s="8">
        <f t="shared" ref="BJ22:BJ28" si="53">BI22-BH22</f>
        <v>15.62679825388426</v>
      </c>
      <c r="BK22" s="33">
        <f t="shared" ref="BK22:BK28" si="54">IFERROR(BJ22/BH22,"n.a.")</f>
        <v>0.18184081763628221</v>
      </c>
      <c r="BM22" s="38">
        <f>Revenue_FY25B!D15/1000</f>
        <v>991.58500000000004</v>
      </c>
      <c r="BN22" s="38">
        <f t="shared" ref="BN22:BN27" si="55">+F22+K22+P22+U22+Z22+AE22+AJ22+AO22+AT22+AY22+BD22+BI22</f>
        <v>1107.9709751036448</v>
      </c>
      <c r="BO22" s="8">
        <f t="shared" ref="BO22:BO28" si="56">BN22-BM22</f>
        <v>116.3859751036448</v>
      </c>
      <c r="BP22" s="33">
        <f t="shared" ref="BP22:BP28" si="57">IFERROR(BO22/BM22,"n.a.")</f>
        <v>0.11737367457519506</v>
      </c>
    </row>
    <row r="23" spans="2:68" x14ac:dyDescent="0.25">
      <c r="B23">
        <f>+MAX($B$1:B22)+1</f>
        <v>8</v>
      </c>
      <c r="C23" s="7" t="s">
        <v>57</v>
      </c>
      <c r="E23" s="23">
        <f>+_xlfn.XLOOKUP($B23,Revenue_FY25B!$B:$B,Revenue_FY25B!F:F,0)/1000</f>
        <v>105.24754897435858</v>
      </c>
      <c r="F23" s="25">
        <v>133.20476871974307</v>
      </c>
      <c r="G23" s="8">
        <f t="shared" si="31"/>
        <v>27.957219745384492</v>
      </c>
      <c r="H23" s="33">
        <f t="shared" si="32"/>
        <v>0.2656329768990221</v>
      </c>
      <c r="J23" s="23">
        <f>+_xlfn.XLOOKUP($B23,Revenue_FY25B!$B:$B,Revenue_FY25B!G:G,0)/1000</f>
        <v>104.04749953717233</v>
      </c>
      <c r="K23" s="25">
        <v>110.86561337303604</v>
      </c>
      <c r="L23" s="8">
        <f t="shared" si="33"/>
        <v>6.8181138358637128</v>
      </c>
      <c r="M23" s="33">
        <f t="shared" si="34"/>
        <v>6.5528858129145648E-2</v>
      </c>
      <c r="O23" s="23">
        <f>+_xlfn.XLOOKUP($B23,Revenue_FY25B!$B:$B,Revenue_FY25B!H:H,0)/1000</f>
        <v>104.87252579075253</v>
      </c>
      <c r="P23" s="25">
        <v>108.04947979000001</v>
      </c>
      <c r="Q23" s="8">
        <f t="shared" si="35"/>
        <v>3.1769539992474733</v>
      </c>
      <c r="R23" s="33">
        <f t="shared" si="36"/>
        <v>3.029348225660463E-2</v>
      </c>
      <c r="T23" s="23">
        <f>+_xlfn.XLOOKUP($B23,Revenue_FY25B!$B:$B,Revenue_FY25B!I:I,0)/1000</f>
        <v>107.91540652493308</v>
      </c>
      <c r="U23" s="25">
        <v>96.641414470000001</v>
      </c>
      <c r="V23" s="8">
        <f t="shared" si="37"/>
        <v>-11.273992054933075</v>
      </c>
      <c r="W23" s="33">
        <f t="shared" si="38"/>
        <v>-0.10447064434982507</v>
      </c>
      <c r="Y23" s="23">
        <f>+_xlfn.XLOOKUP($B23,Revenue_FY25B!$B:$B,Revenue_FY25B!J:J,0)/1000</f>
        <v>100.84529648336944</v>
      </c>
      <c r="Z23" s="25">
        <v>70.604719700000004</v>
      </c>
      <c r="AA23" s="8">
        <f t="shared" si="39"/>
        <v>-30.240576783369434</v>
      </c>
      <c r="AB23" s="33">
        <f t="shared" si="40"/>
        <v>-0.29987096907743693</v>
      </c>
      <c r="AD23" s="23">
        <f>+_xlfn.XLOOKUP($B23,Revenue_FY25B!$B:$B,Revenue_FY25B!K:K,0)/1000</f>
        <v>97.619596183116627</v>
      </c>
      <c r="AE23" s="25">
        <v>88.986522199999996</v>
      </c>
      <c r="AF23" s="8">
        <f t="shared" si="41"/>
        <v>-8.6330739831166312</v>
      </c>
      <c r="AG23" s="33">
        <f t="shared" si="42"/>
        <v>-8.8435870672139968E-2</v>
      </c>
      <c r="AI23" s="23">
        <f>+_xlfn.XLOOKUP($B23,Revenue_FY25B!$B:$B,Revenue_FY25B!L:L,0)/1000</f>
        <v>95.340010522475239</v>
      </c>
      <c r="AJ23" s="25">
        <v>114.99373074953662</v>
      </c>
      <c r="AK23" s="8">
        <f t="shared" si="43"/>
        <v>19.653720227061385</v>
      </c>
      <c r="AL23" s="33">
        <f t="shared" si="44"/>
        <v>0.20614346609945319</v>
      </c>
      <c r="AN23" s="23">
        <f>+_xlfn.XLOOKUP($B23,Revenue_FY25B!$B:$B,Revenue_FY25B!M:M,0)/1000</f>
        <v>88.886973856295782</v>
      </c>
      <c r="AO23" s="25">
        <v>109.75453998845595</v>
      </c>
      <c r="AP23" s="8">
        <f t="shared" si="45"/>
        <v>20.867566132160164</v>
      </c>
      <c r="AQ23" s="33">
        <f t="shared" si="46"/>
        <v>0.23476517679516135</v>
      </c>
      <c r="AS23" s="23">
        <f>+_xlfn.XLOOKUP($B23,Revenue_FY25B!$B:$B,Revenue_FY25B!N:N,0)/1000</f>
        <v>108.52192461911513</v>
      </c>
      <c r="AT23" s="25">
        <v>127.71888091593438</v>
      </c>
      <c r="AU23" s="8">
        <f t="shared" si="47"/>
        <v>19.196956296819252</v>
      </c>
      <c r="AV23" s="33">
        <f t="shared" si="48"/>
        <v>0.17689472762481662</v>
      </c>
      <c r="AX23" s="23">
        <f>+_xlfn.XLOOKUP($B23,Revenue_FY25B!$B:$B,Revenue_FY25B!O:O,0)/1000</f>
        <v>96.606723170226928</v>
      </c>
      <c r="AY23" s="25">
        <v>96.840716229999998</v>
      </c>
      <c r="AZ23" s="8">
        <f t="shared" si="49"/>
        <v>0.23399305977306994</v>
      </c>
      <c r="BA23" s="33">
        <f t="shared" si="50"/>
        <v>2.4221198286661677E-3</v>
      </c>
      <c r="BC23" s="23">
        <f>+_xlfn.XLOOKUP($B23,Revenue_FY25B!$B:$B,Revenue_FY25B!P:P,0)/1000</f>
        <v>100.34700901546614</v>
      </c>
      <c r="BD23" s="25">
        <v>109.76037438</v>
      </c>
      <c r="BE23" s="8">
        <f t="shared" si="51"/>
        <v>9.4133653645338597</v>
      </c>
      <c r="BF23" s="33">
        <f t="shared" si="52"/>
        <v>9.3808130973619855E-2</v>
      </c>
      <c r="BH23" s="23">
        <f>+_xlfn.XLOOKUP($B23,Revenue_FY25B!$B:$B,Revenue_FY25B!Q:Q,0)/1000</f>
        <v>99.126242139194858</v>
      </c>
      <c r="BI23" s="25">
        <v>116.50120063999999</v>
      </c>
      <c r="BJ23" s="8">
        <f t="shared" si="53"/>
        <v>17.374958500805135</v>
      </c>
      <c r="BK23" s="33">
        <f t="shared" si="54"/>
        <v>0.17528111755116174</v>
      </c>
      <c r="BM23" s="38">
        <f>Revenue_FY25B!D16/1000</f>
        <v>1209.376</v>
      </c>
      <c r="BN23" s="38">
        <f t="shared" si="55"/>
        <v>1283.9219611567062</v>
      </c>
      <c r="BO23" s="8">
        <f t="shared" si="56"/>
        <v>74.545961156706198</v>
      </c>
      <c r="BP23" s="33">
        <f t="shared" si="57"/>
        <v>6.1640020272195083E-2</v>
      </c>
    </row>
    <row r="24" spans="2:68" x14ac:dyDescent="0.25">
      <c r="B24">
        <f>+MAX($B$1:B23)+1</f>
        <v>9</v>
      </c>
      <c r="C24" s="7" t="s">
        <v>58</v>
      </c>
      <c r="E24" s="23">
        <f>+_xlfn.XLOOKUP($B24,Revenue_FY25B!$B:$B,Revenue_FY25B!F:F,0)/1000</f>
        <v>23.311812953342759</v>
      </c>
      <c r="F24" s="25">
        <v>25.598254115057099</v>
      </c>
      <c r="G24" s="8">
        <f t="shared" si="31"/>
        <v>2.2864411617143396</v>
      </c>
      <c r="H24" s="33">
        <f t="shared" si="32"/>
        <v>9.8080795615961697E-2</v>
      </c>
      <c r="J24" s="23">
        <f>+_xlfn.XLOOKUP($B24,Revenue_FY25B!$B:$B,Revenue_FY25B!G:G,0)/1000</f>
        <v>23.941010177250842</v>
      </c>
      <c r="K24" s="25">
        <v>23.465797995107359</v>
      </c>
      <c r="L24" s="8">
        <f t="shared" si="33"/>
        <v>-0.47521218214348337</v>
      </c>
      <c r="M24" s="33">
        <f t="shared" si="34"/>
        <v>-1.9849295356594358E-2</v>
      </c>
      <c r="O24" s="23">
        <f>+_xlfn.XLOOKUP($B24,Revenue_FY25B!$B:$B,Revenue_FY25B!H:H,0)/1000</f>
        <v>22.634368645580761</v>
      </c>
      <c r="P24" s="25">
        <v>20.853295330000002</v>
      </c>
      <c r="Q24" s="8">
        <f t="shared" si="35"/>
        <v>-1.781073315580759</v>
      </c>
      <c r="R24" s="33">
        <f t="shared" si="36"/>
        <v>-7.8688888719169292E-2</v>
      </c>
      <c r="T24" s="23">
        <f>+_xlfn.XLOOKUP($B24,Revenue_FY25B!$B:$B,Revenue_FY25B!I:I,0)/1000</f>
        <v>23.016070825420726</v>
      </c>
      <c r="U24" s="25">
        <v>21.304954089999999</v>
      </c>
      <c r="V24" s="8">
        <f t="shared" si="37"/>
        <v>-1.7111167354207275</v>
      </c>
      <c r="W24" s="33">
        <f t="shared" si="38"/>
        <v>-7.4344433000737814E-2</v>
      </c>
      <c r="Y24" s="23">
        <f>+_xlfn.XLOOKUP($B24,Revenue_FY25B!$B:$B,Revenue_FY25B!J:J,0)/1000</f>
        <v>22.243361795132039</v>
      </c>
      <c r="Z24" s="25">
        <v>13.978105319999999</v>
      </c>
      <c r="AA24" s="8">
        <f t="shared" si="39"/>
        <v>-8.2652564751320394</v>
      </c>
      <c r="AB24" s="33">
        <f t="shared" si="40"/>
        <v>-0.3715830615559601</v>
      </c>
      <c r="AD24" s="23">
        <f>+_xlfn.XLOOKUP($B24,Revenue_FY25B!$B:$B,Revenue_FY25B!K:K,0)/1000</f>
        <v>22.047038557818585</v>
      </c>
      <c r="AE24" s="25">
        <v>20.677435620000001</v>
      </c>
      <c r="AF24" s="8">
        <f t="shared" si="41"/>
        <v>-1.3696029378185841</v>
      </c>
      <c r="AG24" s="33">
        <f t="shared" si="42"/>
        <v>-6.2121855242679706E-2</v>
      </c>
      <c r="AI24" s="23">
        <f>+_xlfn.XLOOKUP($B24,Revenue_FY25B!$B:$B,Revenue_FY25B!L:L,0)/1000</f>
        <v>19.411236286905172</v>
      </c>
      <c r="AJ24" s="25">
        <v>20.457432418623782</v>
      </c>
      <c r="AK24" s="8">
        <f t="shared" si="43"/>
        <v>1.0461961317186095</v>
      </c>
      <c r="AL24" s="33">
        <f t="shared" si="44"/>
        <v>5.3896419385939566E-2</v>
      </c>
      <c r="AN24" s="23">
        <f>+_xlfn.XLOOKUP($B24,Revenue_FY25B!$B:$B,Revenue_FY25B!M:M,0)/1000</f>
        <v>20.80940270659346</v>
      </c>
      <c r="AO24" s="25">
        <v>21.93964980897854</v>
      </c>
      <c r="AP24" s="8">
        <f t="shared" si="45"/>
        <v>1.1302471023850806</v>
      </c>
      <c r="AQ24" s="33">
        <f t="shared" si="46"/>
        <v>5.4314250068646222E-2</v>
      </c>
      <c r="AS24" s="23">
        <f>+_xlfn.XLOOKUP($B24,Revenue_FY25B!$B:$B,Revenue_FY25B!N:N,0)/1000</f>
        <v>24.440084015718643</v>
      </c>
      <c r="AT24" s="25">
        <v>25.413435611689241</v>
      </c>
      <c r="AU24" s="8">
        <f t="shared" si="47"/>
        <v>0.97335159597059828</v>
      </c>
      <c r="AV24" s="33">
        <f t="shared" si="48"/>
        <v>3.9826033140662985E-2</v>
      </c>
      <c r="AX24" s="23">
        <f>+_xlfn.XLOOKUP($B24,Revenue_FY25B!$B:$B,Revenue_FY25B!O:O,0)/1000</f>
        <v>20.033378328681948</v>
      </c>
      <c r="AY24" s="25">
        <v>16.618719160000001</v>
      </c>
      <c r="AZ24" s="8">
        <f t="shared" si="49"/>
        <v>-3.414659168681947</v>
      </c>
      <c r="BA24" s="33">
        <f t="shared" si="50"/>
        <v>-0.17044849414105817</v>
      </c>
      <c r="BC24" s="23">
        <f>+_xlfn.XLOOKUP($B24,Revenue_FY25B!$B:$B,Revenue_FY25B!P:P,0)/1000</f>
        <v>22.786069715668322</v>
      </c>
      <c r="BD24" s="25">
        <v>20.828131760000002</v>
      </c>
      <c r="BE24" s="8">
        <f t="shared" si="51"/>
        <v>-1.9579379556683207</v>
      </c>
      <c r="BF24" s="33">
        <f t="shared" si="52"/>
        <v>-8.5926971175814021E-2</v>
      </c>
      <c r="BH24" s="23">
        <f>+_xlfn.XLOOKUP($B24,Revenue_FY25B!$B:$B,Revenue_FY25B!Q:Q,0)/1000</f>
        <v>23.293601556427767</v>
      </c>
      <c r="BI24" s="25">
        <v>21.603024019999999</v>
      </c>
      <c r="BJ24" s="8">
        <f t="shared" si="53"/>
        <v>-1.6905775364277673</v>
      </c>
      <c r="BK24" s="33">
        <f t="shared" si="54"/>
        <v>-7.2576906251805434E-2</v>
      </c>
      <c r="BM24" s="38">
        <f>Revenue_FY25B!D17/1000</f>
        <v>267.96699999999998</v>
      </c>
      <c r="BN24" s="38">
        <f t="shared" si="55"/>
        <v>252.73823524945601</v>
      </c>
      <c r="BO24" s="8">
        <f t="shared" si="56"/>
        <v>-15.228764750543974</v>
      </c>
      <c r="BP24" s="33">
        <f t="shared" si="57"/>
        <v>-5.6830746885041722E-2</v>
      </c>
    </row>
    <row r="25" spans="2:68" x14ac:dyDescent="0.25">
      <c r="B25">
        <f>+MAX($B$1:B24)+1</f>
        <v>10</v>
      </c>
      <c r="C25" s="7" t="s">
        <v>59</v>
      </c>
      <c r="E25" s="23">
        <f>+_xlfn.XLOOKUP($B25,Revenue_FY25B!$B:$B,Revenue_FY25B!F:F,0)/1000</f>
        <v>3.4611587630630916</v>
      </c>
      <c r="F25" s="25">
        <v>4.6676665938775228</v>
      </c>
      <c r="G25" s="8">
        <f t="shared" si="31"/>
        <v>1.2065078308144312</v>
      </c>
      <c r="H25" s="33">
        <f t="shared" si="32"/>
        <v>0.34858494319592659</v>
      </c>
      <c r="J25" s="23">
        <f>+_xlfn.XLOOKUP($B25,Revenue_FY25B!$B:$B,Revenue_FY25B!G:G,0)/1000</f>
        <v>3.3133786020403257</v>
      </c>
      <c r="K25" s="25">
        <v>4.2579657911275284</v>
      </c>
      <c r="L25" s="8">
        <f t="shared" si="33"/>
        <v>0.94458718908720263</v>
      </c>
      <c r="M25" s="33">
        <f t="shared" si="34"/>
        <v>0.28508278181839553</v>
      </c>
      <c r="O25" s="23">
        <f>+_xlfn.XLOOKUP($B25,Revenue_FY25B!$B:$B,Revenue_FY25B!H:H,0)/1000</f>
        <v>3.1980602366001887</v>
      </c>
      <c r="P25" s="25">
        <v>3.9785836300000001</v>
      </c>
      <c r="Q25" s="8">
        <f t="shared" si="35"/>
        <v>0.78052339339981147</v>
      </c>
      <c r="R25" s="33">
        <f t="shared" si="36"/>
        <v>0.24406150467934104</v>
      </c>
      <c r="T25" s="23">
        <f>+_xlfn.XLOOKUP($B25,Revenue_FY25B!$B:$B,Revenue_FY25B!I:I,0)/1000</f>
        <v>3.5160996301471847</v>
      </c>
      <c r="U25" s="25">
        <v>2.94912142</v>
      </c>
      <c r="V25" s="8">
        <f t="shared" si="37"/>
        <v>-0.56697821014718475</v>
      </c>
      <c r="W25" s="33">
        <f t="shared" si="38"/>
        <v>-0.16125203202033581</v>
      </c>
      <c r="Y25" s="23">
        <f>+_xlfn.XLOOKUP($B25,Revenue_FY25B!$B:$B,Revenue_FY25B!J:J,0)/1000</f>
        <v>3.154153680341139</v>
      </c>
      <c r="Z25" s="25">
        <v>2.2218616199999999</v>
      </c>
      <c r="AA25" s="8">
        <f t="shared" si="39"/>
        <v>-0.93229206034113909</v>
      </c>
      <c r="AB25" s="33">
        <f t="shared" si="40"/>
        <v>-0.29557597847937028</v>
      </c>
      <c r="AD25" s="23">
        <f>+_xlfn.XLOOKUP($B25,Revenue_FY25B!$B:$B,Revenue_FY25B!K:K,0)/1000</f>
        <v>3.5951716139883305</v>
      </c>
      <c r="AE25" s="25">
        <f>5.07310176</f>
        <v>5.0731017600000001</v>
      </c>
      <c r="AF25" s="8">
        <f t="shared" si="41"/>
        <v>1.4779301460116696</v>
      </c>
      <c r="AG25" s="33">
        <f t="shared" si="42"/>
        <v>0.41108750977595665</v>
      </c>
      <c r="AI25" s="23">
        <f>+_xlfn.XLOOKUP($B25,Revenue_FY25B!$B:$B,Revenue_FY25B!L:L,0)/1000</f>
        <v>4.0926026324578046</v>
      </c>
      <c r="AJ25" s="25">
        <v>5.3374712816462218</v>
      </c>
      <c r="AK25" s="8">
        <f t="shared" si="43"/>
        <v>1.2448686491884171</v>
      </c>
      <c r="AL25" s="33">
        <f t="shared" si="44"/>
        <v>0.30417530383124775</v>
      </c>
      <c r="AN25" s="23">
        <f>+_xlfn.XLOOKUP($B25,Revenue_FY25B!$B:$B,Revenue_FY25B!M:M,0)/1000</f>
        <v>3.6288076365728044</v>
      </c>
      <c r="AO25" s="25">
        <v>5.1813650170305277</v>
      </c>
      <c r="AP25" s="8">
        <f t="shared" si="45"/>
        <v>1.5525573804577233</v>
      </c>
      <c r="AQ25" s="33">
        <f t="shared" si="46"/>
        <v>0.42784229310210076</v>
      </c>
      <c r="AS25" s="23">
        <f>+_xlfn.XLOOKUP($B25,Revenue_FY25B!$B:$B,Revenue_FY25B!N:N,0)/1000</f>
        <v>3.7391511902399879</v>
      </c>
      <c r="AT25" s="25">
        <v>5.7408977320976797</v>
      </c>
      <c r="AU25" s="8">
        <f t="shared" si="47"/>
        <v>2.0017465418576919</v>
      </c>
      <c r="AV25" s="33">
        <f t="shared" si="48"/>
        <v>0.53534784768337085</v>
      </c>
      <c r="AX25" s="23">
        <f>+_xlfn.XLOOKUP($B25,Revenue_FY25B!$B:$B,Revenue_FY25B!O:O,0)/1000</f>
        <v>3.4185168297059221</v>
      </c>
      <c r="AY25" s="25">
        <v>3.9518700500000001</v>
      </c>
      <c r="AZ25" s="8">
        <f t="shared" si="49"/>
        <v>0.53335322029407806</v>
      </c>
      <c r="BA25" s="33">
        <f t="shared" si="50"/>
        <v>0.1560188955805023</v>
      </c>
      <c r="BC25" s="23">
        <f>+_xlfn.XLOOKUP($B25,Revenue_FY25B!$B:$B,Revenue_FY25B!P:P,0)/1000</f>
        <v>3.3793469470472357</v>
      </c>
      <c r="BD25" s="25">
        <v>4.6881377100000003</v>
      </c>
      <c r="BE25" s="8">
        <f t="shared" si="51"/>
        <v>1.3087907629527646</v>
      </c>
      <c r="BF25" s="33">
        <f t="shared" si="52"/>
        <v>0.38729103091836836</v>
      </c>
      <c r="BH25" s="23">
        <f>+_xlfn.XLOOKUP($B25,Revenue_FY25B!$B:$B,Revenue_FY25B!Q:Q,0)/1000</f>
        <v>3.0532335445953906</v>
      </c>
      <c r="BI25" s="25">
        <v>4.4678058299999996</v>
      </c>
      <c r="BJ25" s="8">
        <f t="shared" si="53"/>
        <v>1.414572285404609</v>
      </c>
      <c r="BK25" s="33">
        <f t="shared" si="54"/>
        <v>0.46330300802196439</v>
      </c>
      <c r="BM25" s="38">
        <f>Revenue_FY25B!D18/1000</f>
        <v>41.55</v>
      </c>
      <c r="BN25" s="38">
        <f t="shared" si="55"/>
        <v>52.515848435779475</v>
      </c>
      <c r="BO25" s="8">
        <f t="shared" si="56"/>
        <v>10.965848435779478</v>
      </c>
      <c r="BP25" s="33">
        <f t="shared" si="57"/>
        <v>0.26391933660119082</v>
      </c>
    </row>
    <row r="26" spans="2:68" x14ac:dyDescent="0.25">
      <c r="B26">
        <f>+MAX($B$1:B25)+1</f>
        <v>11</v>
      </c>
      <c r="C26" s="7" t="s">
        <v>60</v>
      </c>
      <c r="E26" s="23">
        <f>+_xlfn.XLOOKUP($B26,Revenue_FY25B!$B:$B,Revenue_FY25B!F:F,0)/1000</f>
        <v>0.3241713072329595</v>
      </c>
      <c r="F26" s="25">
        <v>0.38468531672660106</v>
      </c>
      <c r="G26" s="8">
        <f t="shared" si="31"/>
        <v>6.0514009493641552E-2</v>
      </c>
      <c r="H26" s="33">
        <f t="shared" si="32"/>
        <v>0.18667293540003008</v>
      </c>
      <c r="J26" s="23">
        <f>+_xlfn.XLOOKUP($B26,Revenue_FY25B!$B:$B,Revenue_FY25B!G:G,0)/1000</f>
        <v>0.28537126738531238</v>
      </c>
      <c r="K26" s="25">
        <v>0.3351135707009083</v>
      </c>
      <c r="L26" s="8">
        <f t="shared" si="33"/>
        <v>4.9742303315595926E-2</v>
      </c>
      <c r="M26" s="33">
        <f t="shared" si="34"/>
        <v>0.17430732873479218</v>
      </c>
      <c r="O26" s="23">
        <f>+_xlfn.XLOOKUP($B26,Revenue_FY25B!$B:$B,Revenue_FY25B!H:H,0)/1000</f>
        <v>0.2764820409894056</v>
      </c>
      <c r="P26" s="25">
        <v>0.27306520000000001</v>
      </c>
      <c r="Q26" s="8">
        <f t="shared" si="35"/>
        <v>-3.4168409894055896E-3</v>
      </c>
      <c r="R26" s="33">
        <f t="shared" si="36"/>
        <v>-1.2358274617686717E-2</v>
      </c>
      <c r="T26" s="23">
        <f>+_xlfn.XLOOKUP($B26,Revenue_FY25B!$B:$B,Revenue_FY25B!I:I,0)/1000</f>
        <v>0.31059802960401595</v>
      </c>
      <c r="U26" s="25">
        <v>0.24055897000000001</v>
      </c>
      <c r="V26" s="8">
        <f t="shared" si="37"/>
        <v>-7.0039059604015935E-2</v>
      </c>
      <c r="W26" s="33">
        <f t="shared" si="38"/>
        <v>-0.22549743697121752</v>
      </c>
      <c r="Y26" s="23">
        <f>+_xlfn.XLOOKUP($B26,Revenue_FY25B!$B:$B,Revenue_FY25B!J:J,0)/1000</f>
        <v>0.27725663422359514</v>
      </c>
      <c r="Z26" s="25">
        <v>0.22099552</v>
      </c>
      <c r="AA26" s="8">
        <f t="shared" si="39"/>
        <v>-5.6261114223595143E-2</v>
      </c>
      <c r="AB26" s="33">
        <f t="shared" si="40"/>
        <v>-0.20292071416485224</v>
      </c>
      <c r="AD26" s="23">
        <f>+_xlfn.XLOOKUP($B26,Revenue_FY25B!$B:$B,Revenue_FY25B!K:K,0)/1000</f>
        <v>0.25975107612741027</v>
      </c>
      <c r="AE26" s="25">
        <v>0.23836055</v>
      </c>
      <c r="AF26" s="8">
        <f t="shared" si="41"/>
        <v>-2.139052612741027E-2</v>
      </c>
      <c r="AG26" s="33">
        <f t="shared" si="42"/>
        <v>-8.2350096278015122E-2</v>
      </c>
      <c r="AI26" s="23">
        <f>+_xlfn.XLOOKUP($B26,Revenue_FY25B!$B:$B,Revenue_FY25B!L:L,0)/1000</f>
        <v>0.2819899112381542</v>
      </c>
      <c r="AJ26" s="25">
        <v>0.34615455196914757</v>
      </c>
      <c r="AK26" s="8">
        <f t="shared" si="43"/>
        <v>6.4164640730993372E-2</v>
      </c>
      <c r="AL26" s="33">
        <f t="shared" si="44"/>
        <v>0.22754232748703981</v>
      </c>
      <c r="AN26" s="23">
        <f>+_xlfn.XLOOKUP($B26,Revenue_FY25B!$B:$B,Revenue_FY25B!M:M,0)/1000</f>
        <v>0.23875826287786159</v>
      </c>
      <c r="AO26" s="25">
        <v>0.3366962951942899</v>
      </c>
      <c r="AP26" s="8">
        <f t="shared" si="45"/>
        <v>9.7938032316428308E-2</v>
      </c>
      <c r="AQ26" s="33">
        <f t="shared" si="46"/>
        <v>0.41019745719346756</v>
      </c>
      <c r="AS26" s="23">
        <f>+_xlfn.XLOOKUP($B26,Revenue_FY25B!$B:$B,Revenue_FY25B!N:N,0)/1000</f>
        <v>0.28435180364941942</v>
      </c>
      <c r="AT26" s="25">
        <v>0.41498453974995347</v>
      </c>
      <c r="AU26" s="8">
        <f t="shared" si="47"/>
        <v>0.13063273610053405</v>
      </c>
      <c r="AV26" s="33">
        <f t="shared" si="48"/>
        <v>0.4594053367130832</v>
      </c>
      <c r="AX26" s="23">
        <f>+_xlfn.XLOOKUP($B26,Revenue_FY25B!$B:$B,Revenue_FY25B!O:O,0)/1000</f>
        <v>0.26596141697457154</v>
      </c>
      <c r="AY26" s="25">
        <v>0.28353399000000001</v>
      </c>
      <c r="AZ26" s="8">
        <f t="shared" si="49"/>
        <v>1.7572573025428473E-2</v>
      </c>
      <c r="BA26" s="33">
        <f t="shared" si="50"/>
        <v>6.607188826606597E-2</v>
      </c>
      <c r="BC26" s="23">
        <f>+_xlfn.XLOOKUP($B26,Revenue_FY25B!$B:$B,Revenue_FY25B!P:P,0)/1000</f>
        <v>0.25966828961194238</v>
      </c>
      <c r="BD26" s="25">
        <v>0.30961471000000002</v>
      </c>
      <c r="BE26" s="8">
        <f t="shared" si="51"/>
        <v>4.9946420388057633E-2</v>
      </c>
      <c r="BF26" s="33">
        <f t="shared" si="52"/>
        <v>0.19234701496551374</v>
      </c>
      <c r="BH26" s="23">
        <f>+_xlfn.XLOOKUP($B26,Revenue_FY25B!$B:$B,Revenue_FY25B!Q:Q,0)/1000</f>
        <v>0.3052927930280932</v>
      </c>
      <c r="BI26" s="25">
        <v>0.33413899000000002</v>
      </c>
      <c r="BJ26" s="8">
        <f t="shared" si="53"/>
        <v>2.8846196971906823E-2</v>
      </c>
      <c r="BK26" s="33">
        <f t="shared" si="54"/>
        <v>9.4486989639655142E-2</v>
      </c>
      <c r="BM26" s="38">
        <f>Revenue_FY25B!D19/1000</f>
        <v>3.37</v>
      </c>
      <c r="BN26" s="38">
        <f t="shared" si="55"/>
        <v>3.7179022043409002</v>
      </c>
      <c r="BO26" s="8">
        <f t="shared" si="56"/>
        <v>0.34790220434090013</v>
      </c>
      <c r="BP26" s="33">
        <f t="shared" si="57"/>
        <v>0.10323507547207719</v>
      </c>
    </row>
    <row r="27" spans="2:68" x14ac:dyDescent="0.25">
      <c r="B27">
        <f>+MAX($B$1:B26)+1</f>
        <v>12</v>
      </c>
      <c r="C27" s="7" t="s">
        <v>61</v>
      </c>
      <c r="E27" s="23">
        <f>+_xlfn.XLOOKUP($B27,Revenue_FY25B!$B:$B,Revenue_FY25B!F:F,0)/1000</f>
        <v>0.52470139677359728</v>
      </c>
      <c r="F27" s="25">
        <v>0.6760498615761299</v>
      </c>
      <c r="G27" s="8">
        <f t="shared" si="31"/>
        <v>0.15134846480253261</v>
      </c>
      <c r="H27" s="33">
        <f t="shared" si="32"/>
        <v>0.28844684945223764</v>
      </c>
      <c r="J27" s="23">
        <f>+_xlfn.XLOOKUP($B27,Revenue_FY25B!$B:$B,Revenue_FY25B!G:G,0)/1000</f>
        <v>0.51233023840751679</v>
      </c>
      <c r="K27" s="25">
        <v>0.61198848793370764</v>
      </c>
      <c r="L27" s="8">
        <f t="shared" si="33"/>
        <v>9.9658249526190845E-2</v>
      </c>
      <c r="M27" s="33">
        <f t="shared" si="34"/>
        <v>0.1945195540984658</v>
      </c>
      <c r="O27" s="23">
        <f>+_xlfn.XLOOKUP($B27,Revenue_FY25B!$B:$B,Revenue_FY25B!H:H,0)/1000</f>
        <v>0.51470583031844763</v>
      </c>
      <c r="P27" s="25">
        <v>0.56760107999999998</v>
      </c>
      <c r="Q27" s="8">
        <f t="shared" si="35"/>
        <v>5.2895249681552348E-2</v>
      </c>
      <c r="R27" s="33">
        <f t="shared" si="36"/>
        <v>0.10276792405639965</v>
      </c>
      <c r="T27" s="23">
        <f>+_xlfn.XLOOKUP($B27,Revenue_FY25B!$B:$B,Revenue_FY25B!I:I,0)/1000</f>
        <v>0.53900669473762108</v>
      </c>
      <c r="U27" s="25">
        <v>0.47824143000000002</v>
      </c>
      <c r="V27" s="8">
        <f t="shared" si="37"/>
        <v>-6.0765264737621061E-2</v>
      </c>
      <c r="W27" s="33">
        <f t="shared" si="38"/>
        <v>-0.11273564007808941</v>
      </c>
      <c r="Y27" s="23">
        <f>+_xlfn.XLOOKUP($B27,Revenue_FY25B!$B:$B,Revenue_FY25B!J:J,0)/1000</f>
        <v>0.51744189298331311</v>
      </c>
      <c r="Z27" s="25">
        <v>0.45378338000000001</v>
      </c>
      <c r="AA27" s="8">
        <f t="shared" si="39"/>
        <v>-6.3658512983313098E-2</v>
      </c>
      <c r="AB27" s="33">
        <f t="shared" si="40"/>
        <v>-0.12302543309025427</v>
      </c>
      <c r="AD27" s="23">
        <f>+_xlfn.XLOOKUP($B27,Revenue_FY25B!$B:$B,Revenue_FY25B!K:K,0)/1000</f>
        <v>0.50085723046299058</v>
      </c>
      <c r="AE27" s="25">
        <v>0.40236960999999999</v>
      </c>
      <c r="AF27" s="8">
        <f t="shared" si="41"/>
        <v>-9.8487620462990588E-2</v>
      </c>
      <c r="AG27" s="33">
        <f t="shared" si="42"/>
        <v>-0.19663811256542907</v>
      </c>
      <c r="AI27" s="23">
        <f>+_xlfn.XLOOKUP($B27,Revenue_FY25B!$B:$B,Revenue_FY25B!L:L,0)/1000</f>
        <v>0.51756091061918652</v>
      </c>
      <c r="AJ27" s="25">
        <v>0.60426135104191225</v>
      </c>
      <c r="AK27" s="8">
        <f t="shared" si="43"/>
        <v>8.6700440422725733E-2</v>
      </c>
      <c r="AL27" s="33">
        <f t="shared" si="44"/>
        <v>0.16751736586714255</v>
      </c>
      <c r="AN27" s="23">
        <f>+_xlfn.XLOOKUP($B27,Revenue_FY25B!$B:$B,Revenue_FY25B!M:M,0)/1000</f>
        <v>0.42520364050561493</v>
      </c>
      <c r="AO27" s="25">
        <v>0.55536577153687672</v>
      </c>
      <c r="AP27" s="8">
        <f t="shared" si="45"/>
        <v>0.13016213103126179</v>
      </c>
      <c r="AQ27" s="33">
        <f t="shared" si="46"/>
        <v>0.30611716041867465</v>
      </c>
      <c r="AS27" s="23">
        <f>+_xlfn.XLOOKUP($B27,Revenue_FY25B!$B:$B,Revenue_FY25B!N:N,0)/1000</f>
        <v>0.45276203198699344</v>
      </c>
      <c r="AT27" s="25">
        <v>0.64319751762852651</v>
      </c>
      <c r="AU27" s="8">
        <f t="shared" si="47"/>
        <v>0.19043548564153306</v>
      </c>
      <c r="AV27" s="33">
        <f t="shared" si="48"/>
        <v>0.42060833768632733</v>
      </c>
      <c r="AX27" s="23">
        <f>+_xlfn.XLOOKUP($B27,Revenue_FY25B!$B:$B,Revenue_FY25B!O:O,0)/1000</f>
        <v>0.40463036656153972</v>
      </c>
      <c r="AY27" s="25">
        <v>0.47961618</v>
      </c>
      <c r="AZ27" s="8">
        <f t="shared" si="49"/>
        <v>7.498581343846028E-2</v>
      </c>
      <c r="BA27" s="33">
        <f t="shared" si="50"/>
        <v>0.18531929295290739</v>
      </c>
      <c r="BC27" s="23">
        <f>+_xlfn.XLOOKUP($B27,Revenue_FY25B!$B:$B,Revenue_FY25B!P:P,0)/1000</f>
        <v>0.53772037168202469</v>
      </c>
      <c r="BD27" s="25">
        <v>0.56380872999999998</v>
      </c>
      <c r="BE27" s="8">
        <f t="shared" si="51"/>
        <v>2.6088358317975291E-2</v>
      </c>
      <c r="BF27" s="33">
        <f t="shared" si="52"/>
        <v>4.8516589089547028E-2</v>
      </c>
      <c r="BH27" s="23">
        <f>+_xlfn.XLOOKUP($B27,Revenue_FY25B!$B:$B,Revenue_FY25B!Q:Q,0)/1000</f>
        <v>0.51711457618496248</v>
      </c>
      <c r="BI27" s="25">
        <v>0.57416080999999997</v>
      </c>
      <c r="BJ27" s="8">
        <f t="shared" si="53"/>
        <v>5.7046233815037484E-2</v>
      </c>
      <c r="BK27" s="33">
        <f t="shared" si="54"/>
        <v>0.1103164297473469</v>
      </c>
      <c r="BM27" s="38">
        <f>Revenue_FY25B!D20/1000</f>
        <v>5.9640000000000004</v>
      </c>
      <c r="BN27" s="38">
        <f t="shared" si="55"/>
        <v>6.6104442097171532</v>
      </c>
      <c r="BO27" s="8">
        <f t="shared" si="56"/>
        <v>0.64644420971715277</v>
      </c>
      <c r="BP27" s="33">
        <f t="shared" si="57"/>
        <v>0.10839104790696726</v>
      </c>
    </row>
    <row r="28" spans="2:68" s="5" customFormat="1" x14ac:dyDescent="0.25">
      <c r="C28" s="10" t="s">
        <v>63</v>
      </c>
      <c r="E28" s="24">
        <f>SUM(E22:E27)</f>
        <v>227.550265612202</v>
      </c>
      <c r="F28" s="24">
        <f>SUM(F22:F27)</f>
        <v>296.97377553555975</v>
      </c>
      <c r="G28" s="24">
        <f t="shared" si="31"/>
        <v>69.423509923357756</v>
      </c>
      <c r="H28" s="34">
        <f t="shared" si="32"/>
        <v>0.30509087623598469</v>
      </c>
      <c r="J28" s="24">
        <f>SUM(J22:J27)</f>
        <v>224.25620924329564</v>
      </c>
      <c r="K28" s="24">
        <f>SUM(K22:K27)</f>
        <v>258.41738645270664</v>
      </c>
      <c r="L28" s="24">
        <f t="shared" si="33"/>
        <v>34.161177209410994</v>
      </c>
      <c r="M28" s="34">
        <f t="shared" si="34"/>
        <v>0.15233102050855377</v>
      </c>
      <c r="O28" s="24">
        <f>SUM(O22:O27)</f>
        <v>220.64927601448576</v>
      </c>
      <c r="P28" s="24">
        <f>SUM(P22:P27)</f>
        <v>234.32059971000001</v>
      </c>
      <c r="Q28" s="24">
        <f t="shared" si="35"/>
        <v>13.671323695514246</v>
      </c>
      <c r="R28" s="34">
        <f t="shared" si="36"/>
        <v>6.1959522108818138E-2</v>
      </c>
      <c r="T28" s="24">
        <f>SUM(T22:T27)</f>
        <v>226.84415697215408</v>
      </c>
      <c r="U28" s="24">
        <f>SUM(U22:U27)</f>
        <v>211.7294282</v>
      </c>
      <c r="V28" s="24">
        <f t="shared" si="37"/>
        <v>-15.114728772154081</v>
      </c>
      <c r="W28" s="34">
        <f t="shared" si="38"/>
        <v>-6.6630452262473161E-2</v>
      </c>
      <c r="Y28" s="24">
        <f>SUM(Y22:Y27)</f>
        <v>207.29842034684003</v>
      </c>
      <c r="Z28" s="24">
        <f>SUM(Z22:Z27)</f>
        <v>148.89533249000002</v>
      </c>
      <c r="AA28" s="24">
        <f t="shared" si="39"/>
        <v>-58.403087856840017</v>
      </c>
      <c r="AB28" s="34">
        <f t="shared" si="40"/>
        <v>-0.28173436034448918</v>
      </c>
      <c r="AD28" s="24">
        <f>SUM(AD22:AD27)</f>
        <v>202.2197129098339</v>
      </c>
      <c r="AE28" s="24">
        <f>SUM(AE22:AE27)</f>
        <v>186.74869140000001</v>
      </c>
      <c r="AF28" s="24">
        <f t="shared" si="41"/>
        <v>-15.471021509833889</v>
      </c>
      <c r="AG28" s="34">
        <f t="shared" si="42"/>
        <v>-7.6506000761321108E-2</v>
      </c>
      <c r="AI28" s="24">
        <f>SUM(AI22:AI27)</f>
        <v>197.55117053808715</v>
      </c>
      <c r="AJ28" s="24">
        <f>SUM(AJ22:AJ27)</f>
        <v>236.57446164279258</v>
      </c>
      <c r="AK28" s="24">
        <f t="shared" si="43"/>
        <v>39.023291104705436</v>
      </c>
      <c r="AL28" s="34">
        <f t="shared" si="44"/>
        <v>0.19753510444111436</v>
      </c>
      <c r="AN28" s="24">
        <f>SUM(AN22:AN27)</f>
        <v>180.39823024389327</v>
      </c>
      <c r="AO28" s="24">
        <f>SUM(AO22:AO27)</f>
        <v>217.19323335813743</v>
      </c>
      <c r="AP28" s="24">
        <f t="shared" si="45"/>
        <v>36.795003114244167</v>
      </c>
      <c r="AQ28" s="34">
        <f t="shared" si="46"/>
        <v>0.20396543283433752</v>
      </c>
      <c r="AS28" s="24">
        <f>SUM(AS22:AS27)</f>
        <v>214.08531529852613</v>
      </c>
      <c r="AT28" s="24">
        <f>SUM(AT22:AT27)</f>
        <v>256.190050970448</v>
      </c>
      <c r="AU28" s="24">
        <f t="shared" si="47"/>
        <v>42.104735671921873</v>
      </c>
      <c r="AV28" s="34">
        <f t="shared" si="48"/>
        <v>0.19667269384268574</v>
      </c>
      <c r="AX28" s="24">
        <f>SUM(AX22:AX27)</f>
        <v>193.89258015918057</v>
      </c>
      <c r="AY28" s="24">
        <f>SUM(AY22:AY27)</f>
        <v>192.18843665999998</v>
      </c>
      <c r="AZ28" s="24">
        <f t="shared" si="49"/>
        <v>-1.7041434991805886</v>
      </c>
      <c r="BA28" s="34">
        <f t="shared" si="50"/>
        <v>-8.7891114646137195E-3</v>
      </c>
      <c r="BC28" s="24">
        <f>SUM(BC22:BC27)</f>
        <v>212.83483867144136</v>
      </c>
      <c r="BD28" s="24">
        <f>SUM(BD22:BD27)</f>
        <v>223.20014986000001</v>
      </c>
      <c r="BE28" s="24">
        <f t="shared" si="51"/>
        <v>10.36531118855865</v>
      </c>
      <c r="BF28" s="34">
        <f t="shared" si="52"/>
        <v>4.870119597553222E-2</v>
      </c>
      <c r="BH28" s="24">
        <f>SUM(BH22:BH27)</f>
        <v>212.23217614554682</v>
      </c>
      <c r="BI28" s="24">
        <f>SUM(BI22:BI27)</f>
        <v>245.04382007999999</v>
      </c>
      <c r="BJ28" s="24">
        <f t="shared" si="53"/>
        <v>32.811643934453173</v>
      </c>
      <c r="BK28" s="34">
        <f t="shared" si="54"/>
        <v>0.1546025891566567</v>
      </c>
      <c r="BM28" s="24">
        <f>SUM(BM22:BM27)</f>
        <v>2519.8120000000004</v>
      </c>
      <c r="BN28" s="24">
        <f>SUM(BN22:BN27)</f>
        <v>2707.4753663596448</v>
      </c>
      <c r="BO28" s="24">
        <f t="shared" si="56"/>
        <v>187.66336635964444</v>
      </c>
      <c r="BP28" s="34">
        <f t="shared" si="57"/>
        <v>7.4475145907569457E-2</v>
      </c>
    </row>
    <row r="29" spans="2:68" x14ac:dyDescent="0.25">
      <c r="C29" s="5"/>
      <c r="D29" s="5"/>
      <c r="E29" s="14"/>
      <c r="F29" s="13"/>
      <c r="G29" s="14"/>
      <c r="H29" s="11"/>
      <c r="I29" s="5"/>
      <c r="J29" s="14"/>
      <c r="K29" s="13"/>
      <c r="L29" s="14"/>
      <c r="M29" s="11"/>
      <c r="N29" s="5"/>
      <c r="O29" s="14"/>
      <c r="P29" s="13"/>
      <c r="Q29" s="14"/>
      <c r="R29" s="11"/>
      <c r="S29" s="5"/>
      <c r="T29" s="14"/>
      <c r="U29" s="13"/>
      <c r="V29" s="14"/>
      <c r="W29" s="11"/>
      <c r="X29" s="5"/>
      <c r="Y29" s="14"/>
      <c r="Z29" s="13"/>
      <c r="AA29" s="14"/>
      <c r="AB29" s="11"/>
      <c r="AC29" s="5"/>
      <c r="AD29" s="14"/>
      <c r="AE29" s="13"/>
      <c r="AF29" s="14"/>
      <c r="AG29" s="11"/>
      <c r="AH29" s="5"/>
      <c r="AI29" s="14"/>
      <c r="AJ29" s="13"/>
      <c r="AK29" s="14"/>
      <c r="AL29" s="11"/>
      <c r="AM29" s="5"/>
      <c r="AN29" s="14"/>
      <c r="AO29" s="13"/>
      <c r="AP29" s="14"/>
      <c r="AQ29" s="11"/>
      <c r="AR29" s="5"/>
      <c r="AS29" s="14"/>
      <c r="AT29" s="13"/>
      <c r="AU29" s="14"/>
      <c r="AV29" s="11"/>
      <c r="AW29" s="5"/>
      <c r="AX29" s="14"/>
      <c r="AY29" s="13"/>
      <c r="AZ29" s="14"/>
      <c r="BA29" s="11"/>
      <c r="BB29" s="5"/>
      <c r="BC29" s="14"/>
      <c r="BD29" s="13"/>
      <c r="BE29" s="14"/>
      <c r="BF29" s="11"/>
      <c r="BG29" s="5"/>
      <c r="BH29" s="14"/>
      <c r="BI29" s="13"/>
      <c r="BJ29" s="14"/>
      <c r="BK29" s="11"/>
      <c r="BL29" s="5"/>
      <c r="BM29" s="14"/>
      <c r="BN29" s="13"/>
      <c r="BO29" s="14"/>
      <c r="BP29" s="11"/>
    </row>
    <row r="30" spans="2:68" x14ac:dyDescent="0.25">
      <c r="C30" s="6" t="s">
        <v>64</v>
      </c>
      <c r="D30" s="6"/>
      <c r="E30" s="14"/>
      <c r="F30" s="13"/>
      <c r="G30" s="14"/>
      <c r="H30" s="11"/>
      <c r="I30" s="6"/>
      <c r="J30" s="14"/>
      <c r="K30" s="13"/>
      <c r="L30" s="14"/>
      <c r="M30" s="11"/>
      <c r="N30" s="6"/>
      <c r="O30" s="14"/>
      <c r="P30" s="13"/>
      <c r="Q30" s="14"/>
      <c r="R30" s="11"/>
      <c r="S30" s="6"/>
      <c r="T30" s="14"/>
      <c r="U30" s="13"/>
      <c r="V30" s="14"/>
      <c r="W30" s="11"/>
      <c r="X30" s="6"/>
      <c r="Y30" s="14"/>
      <c r="Z30" s="13"/>
      <c r="AA30" s="14"/>
      <c r="AB30" s="11"/>
      <c r="AC30" s="6"/>
      <c r="AD30" s="14"/>
      <c r="AE30" s="13"/>
      <c r="AF30" s="14"/>
      <c r="AG30" s="11"/>
      <c r="AH30" s="6"/>
      <c r="AI30" s="14"/>
      <c r="AJ30" s="13"/>
      <c r="AK30" s="14"/>
      <c r="AL30" s="11"/>
      <c r="AM30" s="6"/>
      <c r="AN30" s="14"/>
      <c r="AO30" s="13"/>
      <c r="AP30" s="14"/>
      <c r="AQ30" s="11"/>
      <c r="AR30" s="6"/>
      <c r="AS30" s="14"/>
      <c r="AT30" s="13"/>
      <c r="AU30" s="14"/>
      <c r="AV30" s="11"/>
      <c r="AW30" s="6"/>
      <c r="AX30" s="14"/>
      <c r="AY30" s="13"/>
      <c r="AZ30" s="14"/>
      <c r="BA30" s="11"/>
      <c r="BB30" s="6"/>
      <c r="BC30" s="14"/>
      <c r="BD30" s="13"/>
      <c r="BE30" s="14"/>
      <c r="BF30" s="11"/>
      <c r="BG30" s="6"/>
      <c r="BH30" s="14"/>
      <c r="BI30" s="13"/>
      <c r="BJ30" s="14"/>
      <c r="BK30" s="11"/>
      <c r="BL30" s="6"/>
      <c r="BM30" s="14"/>
      <c r="BN30" s="13"/>
      <c r="BO30" s="14"/>
      <c r="BP30" s="11"/>
    </row>
    <row r="31" spans="2:68" x14ac:dyDescent="0.25">
      <c r="B31">
        <f>+MAX($B$1:B30)+1</f>
        <v>13</v>
      </c>
      <c r="C31" s="7" t="s">
        <v>56</v>
      </c>
      <c r="E31" s="23">
        <f>+_xlfn.XLOOKUP($B31,Revenue_FY25B!$B:$B,Revenue_FY25B!F:F,0)/1000</f>
        <v>3.5640976195228884</v>
      </c>
      <c r="F31" s="25">
        <v>2.5088637038065444</v>
      </c>
      <c r="G31" s="8">
        <f t="shared" ref="G31:G37" si="58">F31-E31</f>
        <v>-1.055233915716344</v>
      </c>
      <c r="H31" s="33">
        <f t="shared" ref="H31:H37" si="59">IFERROR(G31/E31,"n.a.")</f>
        <v>-0.29607323602365415</v>
      </c>
      <c r="J31" s="23">
        <f>+_xlfn.XLOOKUP($B31,Revenue_FY25B!$B:$B,Revenue_FY25B!G:G,0)/1000</f>
        <v>3.4690764904184475</v>
      </c>
      <c r="K31" s="25">
        <v>3.9747711366341671</v>
      </c>
      <c r="L31" s="8">
        <f t="shared" ref="L31:L37" si="60">K31-J31</f>
        <v>0.50569464621571969</v>
      </c>
      <c r="M31" s="33">
        <f t="shared" ref="M31:M37" si="61">IFERROR(L31/J31,"n.a.")</f>
        <v>0.14577212339146828</v>
      </c>
      <c r="O31" s="23">
        <f>+_xlfn.XLOOKUP($B31,Revenue_FY25B!$B:$B,Revenue_FY25B!H:H,0)/1000</f>
        <v>3.3560154583768815</v>
      </c>
      <c r="P31" s="25">
        <v>3.6010920940000002</v>
      </c>
      <c r="Q31" s="8">
        <f t="shared" ref="Q31:Q37" si="62">P31-O31</f>
        <v>0.24507663562311865</v>
      </c>
      <c r="R31" s="33">
        <f t="shared" ref="R31:R37" si="63">IFERROR(Q31/O31,"n.a.")</f>
        <v>7.3026074719467662E-2</v>
      </c>
      <c r="T31" s="23">
        <f>+_xlfn.XLOOKUP($B31,Revenue_FY25B!$B:$B,Revenue_FY25B!I:I,0)/1000</f>
        <v>3.4205589533524945</v>
      </c>
      <c r="U31" s="25">
        <v>2.3471103430000002</v>
      </c>
      <c r="V31" s="8">
        <f t="shared" ref="V31:V37" si="64">U31-T31</f>
        <v>-1.0734486103524943</v>
      </c>
      <c r="W31" s="33">
        <f t="shared" ref="W31:W37" si="65">IFERROR(V31/T31,"n.a.")</f>
        <v>-0.31382257256534224</v>
      </c>
      <c r="Y31" s="23">
        <f>+_xlfn.XLOOKUP($B31,Revenue_FY25B!$B:$B,Revenue_FY25B!J:J,0)/1000</f>
        <v>2.998866680487402</v>
      </c>
      <c r="Z31" s="25">
        <v>2.1615954429999999</v>
      </c>
      <c r="AA31" s="8">
        <f t="shared" ref="AA31:AA37" si="66">Z31-Y31</f>
        <v>-0.83727123748740206</v>
      </c>
      <c r="AB31" s="33">
        <f t="shared" ref="AB31:AB37" si="67">IFERROR(AA31/Y31,"n.a.")</f>
        <v>-0.27919588521064947</v>
      </c>
      <c r="AD31" s="23">
        <f>+_xlfn.XLOOKUP($B31,Revenue_FY25B!$B:$B,Revenue_FY25B!K:K,0)/1000</f>
        <v>2.9217619464787985</v>
      </c>
      <c r="AE31" s="25">
        <v>1.937874415</v>
      </c>
      <c r="AF31" s="8">
        <f t="shared" ref="AF31:AF37" si="68">AE31-AD31</f>
        <v>-0.98388753147879848</v>
      </c>
      <c r="AG31" s="33">
        <f t="shared" ref="AG31:AG37" si="69">IFERROR(AF31/AD31,"n.a.")</f>
        <v>-0.336744590935803</v>
      </c>
      <c r="AI31" s="23">
        <f>+_xlfn.XLOOKUP($B31,Revenue_FY25B!$B:$B,Revenue_FY25B!L:L,0)/1000</f>
        <v>2.7662702642255361</v>
      </c>
      <c r="AJ31" s="25">
        <v>2.0197280800132558</v>
      </c>
      <c r="AK31" s="8">
        <f t="shared" ref="AK31:AK37" si="70">AJ31-AI31</f>
        <v>-0.74654218421228036</v>
      </c>
      <c r="AL31" s="33">
        <f t="shared" ref="AL31:AL37" si="71">IFERROR(AK31/AI31,"n.a.")</f>
        <v>-0.26987319130268977</v>
      </c>
      <c r="AN31" s="23">
        <f>+_xlfn.XLOOKUP($B31,Revenue_FY25B!$B:$B,Revenue_FY25B!M:M,0)/1000</f>
        <v>2.3579865536752012</v>
      </c>
      <c r="AO31" s="25">
        <v>1.9851079736091313</v>
      </c>
      <c r="AP31" s="8">
        <f t="shared" ref="AP31:AP37" si="72">AO31-AN31</f>
        <v>-0.37287858006606989</v>
      </c>
      <c r="AQ31" s="33">
        <f t="shared" ref="AQ31:AQ37" si="73">IFERROR(AP31/AN31,"n.a.")</f>
        <v>-0.15813431144672749</v>
      </c>
      <c r="AS31" s="23">
        <f>+_xlfn.XLOOKUP($B31,Revenue_FY25B!$B:$B,Revenue_FY25B!N:N,0)/1000</f>
        <v>2.7215055876556167</v>
      </c>
      <c r="AT31" s="25">
        <v>2.0339401351061026</v>
      </c>
      <c r="AU31" s="8">
        <f t="shared" ref="AU31:AU37" si="74">AT31-AS31</f>
        <v>-0.68756545254951407</v>
      </c>
      <c r="AV31" s="33">
        <f t="shared" ref="AV31:AV37" si="75">IFERROR(AU31/AS31,"n.a.")</f>
        <v>-0.2526415729837993</v>
      </c>
      <c r="AX31" s="23">
        <f>+_xlfn.XLOOKUP($B31,Revenue_FY25B!$B:$B,Revenue_FY25B!O:O,0)/1000</f>
        <v>2.7953055520404511</v>
      </c>
      <c r="AY31" s="25">
        <v>1.6366076549999999</v>
      </c>
      <c r="AZ31" s="8">
        <f t="shared" ref="AZ31:AZ37" si="76">AY31-AX31</f>
        <v>-1.1586978970404511</v>
      </c>
      <c r="BA31" s="33">
        <f t="shared" ref="BA31:BA37" si="77">IFERROR(AZ31/AX31,"n.a.")</f>
        <v>-0.41451564970943955</v>
      </c>
      <c r="BC31" s="23">
        <f>+_xlfn.XLOOKUP($B31,Revenue_FY25B!$B:$B,Revenue_FY25B!P:P,0)/1000</f>
        <v>3.2675992808951304</v>
      </c>
      <c r="BD31" s="25">
        <v>1.562811701</v>
      </c>
      <c r="BE31" s="8">
        <f t="shared" ref="BE31:BE37" si="78">BD31-BC31</f>
        <v>-1.7047875798951304</v>
      </c>
      <c r="BF31" s="33">
        <f t="shared" ref="BF31:BF37" si="79">IFERROR(BE31/BC31,"n.a.")</f>
        <v>-0.52172479956848283</v>
      </c>
      <c r="BH31" s="23">
        <f>+_xlfn.XLOOKUP($B31,Revenue_FY25B!$B:$B,Revenue_FY25B!Q:Q,0)/1000</f>
        <v>3.2833275834680427</v>
      </c>
      <c r="BI31" s="25">
        <v>1.7640845789999999</v>
      </c>
      <c r="BJ31" s="8">
        <f t="shared" ref="BJ31:BJ37" si="80">BI31-BH31</f>
        <v>-1.5192430044680427</v>
      </c>
      <c r="BK31" s="33">
        <f t="shared" ref="BK31:BK37" si="81">IFERROR(BJ31/BH31,"n.a.")</f>
        <v>-0.46271441574018313</v>
      </c>
      <c r="BM31" s="38">
        <f>Revenue_FY25B!D24/1000</f>
        <v>36.921999999999997</v>
      </c>
      <c r="BN31" s="38">
        <f t="shared" ref="BN31:BN36" si="82">+F31+K31+P31+U31+Z31+AE31+AJ31+AO31+AT31+AY31+BD31+BI31</f>
        <v>27.533587259169202</v>
      </c>
      <c r="BO31" s="8">
        <f t="shared" ref="BO31:BO36" si="83">BN31-BM31</f>
        <v>-9.3884127408307947</v>
      </c>
      <c r="BP31" s="33">
        <f t="shared" ref="BP31:BP37" si="84">IFERROR(BO31/BM31,"n.a.")</f>
        <v>-0.25427692814123815</v>
      </c>
    </row>
    <row r="32" spans="2:68" x14ac:dyDescent="0.25">
      <c r="B32">
        <f>+MAX($B$1:B31)+1</f>
        <v>14</v>
      </c>
      <c r="C32" s="7" t="s">
        <v>57</v>
      </c>
      <c r="E32" s="23">
        <f>+_xlfn.XLOOKUP($B32,Revenue_FY25B!$B:$B,Revenue_FY25B!F:F,0)/1000</f>
        <v>3.9618618837678059</v>
      </c>
      <c r="F32" s="25">
        <v>2.5647572453071565</v>
      </c>
      <c r="G32" s="8">
        <f t="shared" si="58"/>
        <v>-1.3971046384606494</v>
      </c>
      <c r="H32" s="33">
        <f t="shared" si="59"/>
        <v>-0.35263840069355884</v>
      </c>
      <c r="J32" s="23">
        <f>+_xlfn.XLOOKUP($B32,Revenue_FY25B!$B:$B,Revenue_FY25B!G:G,0)/1000</f>
        <v>3.9166880990083741</v>
      </c>
      <c r="K32" s="25">
        <v>3.7606044490242008</v>
      </c>
      <c r="L32" s="8">
        <f t="shared" si="60"/>
        <v>-0.15608364998417334</v>
      </c>
      <c r="M32" s="33">
        <f t="shared" si="61"/>
        <v>-3.9850926609063038E-2</v>
      </c>
      <c r="O32" s="23">
        <f>+_xlfn.XLOOKUP($B32,Revenue_FY25B!$B:$B,Revenue_FY25B!H:H,0)/1000</f>
        <v>3.9477447848791645</v>
      </c>
      <c r="P32" s="25">
        <v>3.8349587700000001</v>
      </c>
      <c r="Q32" s="8">
        <f t="shared" si="62"/>
        <v>-0.1127860148791644</v>
      </c>
      <c r="R32" s="33">
        <f t="shared" si="63"/>
        <v>-2.8569733107155923E-2</v>
      </c>
      <c r="T32" s="23">
        <f>+_xlfn.XLOOKUP($B32,Revenue_FY25B!$B:$B,Revenue_FY25B!I:I,0)/1000</f>
        <v>4.0321486200466445</v>
      </c>
      <c r="U32" s="25">
        <v>2.52285943</v>
      </c>
      <c r="V32" s="8">
        <f t="shared" si="64"/>
        <v>-1.5092891900466445</v>
      </c>
      <c r="W32" s="33">
        <f t="shared" si="65"/>
        <v>-0.37431387884437278</v>
      </c>
      <c r="Y32" s="23">
        <f>+_xlfn.XLOOKUP($B32,Revenue_FY25B!$B:$B,Revenue_FY25B!J:J,0)/1000</f>
        <v>3.7679812007163727</v>
      </c>
      <c r="Z32" s="25">
        <f>2.53302924+0.0000018</f>
        <v>2.53303104</v>
      </c>
      <c r="AA32" s="8">
        <f t="shared" si="66"/>
        <v>-1.2349501607163726</v>
      </c>
      <c r="AB32" s="33">
        <f t="shared" si="67"/>
        <v>-0.32774849314046012</v>
      </c>
      <c r="AD32" s="23">
        <f>+_xlfn.XLOOKUP($B32,Revenue_FY25B!$B:$B,Revenue_FY25B!K:K,0)/1000</f>
        <v>3.6474562132916781</v>
      </c>
      <c r="AE32" s="25">
        <v>2.4094175</v>
      </c>
      <c r="AF32" s="8">
        <f t="shared" si="68"/>
        <v>-1.2380387132916781</v>
      </c>
      <c r="AG32" s="33">
        <f t="shared" si="69"/>
        <v>-0.33942524348343017</v>
      </c>
      <c r="AI32" s="23">
        <f>+_xlfn.XLOOKUP($B32,Revenue_FY25B!$B:$B,Revenue_FY25B!L:L,0)/1000</f>
        <v>3.3852366095242181</v>
      </c>
      <c r="AJ32" s="25">
        <v>2.4657017396234702</v>
      </c>
      <c r="AK32" s="8">
        <f t="shared" si="70"/>
        <v>-0.91953486990074795</v>
      </c>
      <c r="AL32" s="33">
        <f t="shared" si="71"/>
        <v>-0.27163090086928515</v>
      </c>
      <c r="AN32" s="23">
        <f>+_xlfn.XLOOKUP($B32,Revenue_FY25B!$B:$B,Revenue_FY25B!M:M,0)/1000</f>
        <v>3.1561087140557866</v>
      </c>
      <c r="AO32" s="25">
        <v>2.7291161241151927</v>
      </c>
      <c r="AP32" s="8">
        <f t="shared" si="72"/>
        <v>-0.42699258994059397</v>
      </c>
      <c r="AQ32" s="33">
        <f t="shared" si="73"/>
        <v>-0.13529083711184436</v>
      </c>
      <c r="AS32" s="23">
        <f>+_xlfn.XLOOKUP($B32,Revenue_FY25B!$B:$B,Revenue_FY25B!N:N,0)/1000</f>
        <v>3.8532866751682651</v>
      </c>
      <c r="AT32" s="25">
        <v>2.7014910139885346</v>
      </c>
      <c r="AU32" s="8">
        <f t="shared" si="74"/>
        <v>-1.1517956611797304</v>
      </c>
      <c r="AV32" s="33">
        <f t="shared" si="75"/>
        <v>-0.29891252799908374</v>
      </c>
      <c r="AX32" s="23">
        <f>+_xlfn.XLOOKUP($B32,Revenue_FY25B!$B:$B,Revenue_FY25B!O:O,0)/1000</f>
        <v>3.6909905799662357</v>
      </c>
      <c r="AY32" s="25">
        <v>2.1454184299999999</v>
      </c>
      <c r="AZ32" s="8">
        <f t="shared" si="76"/>
        <v>-1.5455721499662358</v>
      </c>
      <c r="BA32" s="33">
        <f t="shared" si="77"/>
        <v>-0.41874182999956999</v>
      </c>
      <c r="BC32" s="23">
        <f>+_xlfn.XLOOKUP($B32,Revenue_FY25B!$B:$B,Revenue_FY25B!P:P,0)/1000</f>
        <v>3.8338932617685475</v>
      </c>
      <c r="BD32" s="25">
        <v>1.9443918099999999</v>
      </c>
      <c r="BE32" s="8">
        <f t="shared" si="78"/>
        <v>-1.8895014517685476</v>
      </c>
      <c r="BF32" s="33">
        <f t="shared" si="79"/>
        <v>-0.49284143369628763</v>
      </c>
      <c r="BH32" s="23">
        <f>+_xlfn.XLOOKUP($B32,Revenue_FY25B!$B:$B,Revenue_FY25B!Q:Q,0)/1000</f>
        <v>3.7872522114069436</v>
      </c>
      <c r="BI32" s="25">
        <v>1.97935303</v>
      </c>
      <c r="BJ32" s="8">
        <f t="shared" si="80"/>
        <v>-1.8078991814069436</v>
      </c>
      <c r="BK32" s="33">
        <f t="shared" si="81"/>
        <v>-0.47736434768238445</v>
      </c>
      <c r="BM32" s="38">
        <f>Revenue_FY25B!D25/1000</f>
        <v>44.981999999999999</v>
      </c>
      <c r="BN32" s="38">
        <f t="shared" si="82"/>
        <v>31.591100582058552</v>
      </c>
      <c r="BO32" s="8">
        <f t="shared" si="83"/>
        <v>-13.390899417941448</v>
      </c>
      <c r="BP32" s="33">
        <f t="shared" si="84"/>
        <v>-0.29769462046910872</v>
      </c>
    </row>
    <row r="33" spans="2:68" x14ac:dyDescent="0.25">
      <c r="B33">
        <f>+MAX($B$1:B32)+1</f>
        <v>15</v>
      </c>
      <c r="C33" s="7" t="s">
        <v>58</v>
      </c>
      <c r="E33" s="23">
        <f>+_xlfn.XLOOKUP($B33,Revenue_FY25B!$B:$B,Revenue_FY25B!F:F,0)/1000</f>
        <v>0.87753286495892113</v>
      </c>
      <c r="F33" s="25">
        <v>0.47692493749643927</v>
      </c>
      <c r="G33" s="8">
        <f t="shared" si="58"/>
        <v>-0.40060792746248186</v>
      </c>
      <c r="H33" s="33">
        <f t="shared" si="59"/>
        <v>-0.45651615279529734</v>
      </c>
      <c r="J33" s="23">
        <f>+_xlfn.XLOOKUP($B33,Revenue_FY25B!$B:$B,Revenue_FY25B!G:G,0)/1000</f>
        <v>0.90121790582748607</v>
      </c>
      <c r="K33" s="25">
        <v>0.77469572267325615</v>
      </c>
      <c r="L33" s="8">
        <f t="shared" si="60"/>
        <v>-0.12652218315422992</v>
      </c>
      <c r="M33" s="33">
        <f t="shared" si="61"/>
        <v>-0.14039022342555318</v>
      </c>
      <c r="O33" s="23">
        <f>+_xlfn.XLOOKUP($B33,Revenue_FY25B!$B:$B,Revenue_FY25B!H:H,0)/1000</f>
        <v>0.85203164609489224</v>
      </c>
      <c r="P33" s="25">
        <v>0.72444138999999996</v>
      </c>
      <c r="Q33" s="8">
        <f t="shared" si="62"/>
        <v>-0.12759025609489227</v>
      </c>
      <c r="R33" s="33">
        <f t="shared" si="63"/>
        <v>-0.14974825956251198</v>
      </c>
      <c r="T33" s="23">
        <f>+_xlfn.XLOOKUP($B33,Revenue_FY25B!$B:$B,Revenue_FY25B!I:I,0)/1000</f>
        <v>0.85997190953614466</v>
      </c>
      <c r="U33" s="25">
        <v>0.58122341</v>
      </c>
      <c r="V33" s="8">
        <f t="shared" si="64"/>
        <v>-0.27874849953614467</v>
      </c>
      <c r="W33" s="33">
        <f t="shared" si="65"/>
        <v>-0.32413674963697037</v>
      </c>
      <c r="Y33" s="23">
        <f>+_xlfn.XLOOKUP($B33,Revenue_FY25B!$B:$B,Revenue_FY25B!J:J,0)/1000</f>
        <v>0.83110042815543717</v>
      </c>
      <c r="Z33" s="25">
        <v>0.48132583000000001</v>
      </c>
      <c r="AA33" s="8">
        <f t="shared" si="66"/>
        <v>-0.34977459815543716</v>
      </c>
      <c r="AB33" s="33">
        <f t="shared" si="67"/>
        <v>-0.4208571988486815</v>
      </c>
      <c r="AD33" s="23">
        <f>+_xlfn.XLOOKUP($B33,Revenue_FY25B!$B:$B,Revenue_FY25B!K:K,0)/1000</f>
        <v>0.82376501149985826</v>
      </c>
      <c r="AE33" s="25">
        <v>0.55130184999999998</v>
      </c>
      <c r="AF33" s="8">
        <f t="shared" si="68"/>
        <v>-0.27246316149985828</v>
      </c>
      <c r="AG33" s="33">
        <f t="shared" si="69"/>
        <v>-0.33075350093320294</v>
      </c>
      <c r="AI33" s="23">
        <f>+_xlfn.XLOOKUP($B33,Revenue_FY25B!$B:$B,Revenue_FY25B!L:L,0)/1000</f>
        <v>0.68923453390080769</v>
      </c>
      <c r="AJ33" s="25">
        <v>0.43076629510861664</v>
      </c>
      <c r="AK33" s="8">
        <f t="shared" si="70"/>
        <v>-0.25846823879219105</v>
      </c>
      <c r="AL33" s="33">
        <f t="shared" si="71"/>
        <v>-0.3750076731201471</v>
      </c>
      <c r="AN33" s="23">
        <f>+_xlfn.XLOOKUP($B33,Revenue_FY25B!$B:$B,Revenue_FY25B!M:M,0)/1000</f>
        <v>0.73887921218643082</v>
      </c>
      <c r="AO33" s="25">
        <v>0.54149887351172521</v>
      </c>
      <c r="AP33" s="8">
        <f t="shared" si="72"/>
        <v>-0.19738033867470561</v>
      </c>
      <c r="AQ33" s="33">
        <f t="shared" si="73"/>
        <v>-0.26713478389875644</v>
      </c>
      <c r="AS33" s="23">
        <f>+_xlfn.XLOOKUP($B33,Revenue_FY25B!$B:$B,Revenue_FY25B!N:N,0)/1000</f>
        <v>0.86779376986070844</v>
      </c>
      <c r="AT33" s="25">
        <v>0.55835646573654285</v>
      </c>
      <c r="AU33" s="8">
        <f t="shared" si="74"/>
        <v>-0.30943730412416559</v>
      </c>
      <c r="AV33" s="33">
        <f t="shared" si="75"/>
        <v>-0.35657931051272018</v>
      </c>
      <c r="AX33" s="23">
        <f>+_xlfn.XLOOKUP($B33,Revenue_FY25B!$B:$B,Revenue_FY25B!O:O,0)/1000</f>
        <v>0.76540232676945985</v>
      </c>
      <c r="AY33" s="25">
        <v>0.36975615000000001</v>
      </c>
      <c r="AZ33" s="8">
        <f t="shared" si="76"/>
        <v>-0.39564617676945985</v>
      </c>
      <c r="BA33" s="33">
        <f t="shared" si="77"/>
        <v>-0.51691269144603602</v>
      </c>
      <c r="BC33" s="23">
        <f>+_xlfn.XLOOKUP($B33,Revenue_FY25B!$B:$B,Revenue_FY25B!P:P,0)/1000</f>
        <v>0.8705726259526555</v>
      </c>
      <c r="BD33" s="25">
        <v>0.37160282</v>
      </c>
      <c r="BE33" s="8">
        <f t="shared" si="78"/>
        <v>-0.4989698059526555</v>
      </c>
      <c r="BF33" s="33">
        <f t="shared" si="79"/>
        <v>-0.57315126972507291</v>
      </c>
      <c r="BH33" s="23">
        <f>+_xlfn.XLOOKUP($B33,Revenue_FY25B!$B:$B,Revenue_FY25B!Q:Q,0)/1000</f>
        <v>0.88996356668433896</v>
      </c>
      <c r="BI33" s="25">
        <v>0.3725406</v>
      </c>
      <c r="BJ33" s="8">
        <f t="shared" si="80"/>
        <v>-0.51742296668433896</v>
      </c>
      <c r="BK33" s="33">
        <f t="shared" si="81"/>
        <v>-0.5813979201553805</v>
      </c>
      <c r="BM33" s="38">
        <f>Revenue_FY25B!D26/1000</f>
        <v>9.9670000000000005</v>
      </c>
      <c r="BN33" s="38">
        <f t="shared" si="82"/>
        <v>6.2344343445265791</v>
      </c>
      <c r="BO33" s="8">
        <f t="shared" si="83"/>
        <v>-3.7325656554734215</v>
      </c>
      <c r="BP33" s="33">
        <f t="shared" si="84"/>
        <v>-0.3744923904357802</v>
      </c>
    </row>
    <row r="34" spans="2:68" x14ac:dyDescent="0.25">
      <c r="B34">
        <f>+MAX($B$1:B33)+1</f>
        <v>16</v>
      </c>
      <c r="C34" s="7" t="s">
        <v>59</v>
      </c>
      <c r="E34" s="23">
        <f>+_xlfn.XLOOKUP($B34,Revenue_FY25B!$B:$B,Revenue_FY25B!F:F,0)/1000</f>
        <v>0.13028933320232841</v>
      </c>
      <c r="F34" s="25">
        <v>0.13685968795255868</v>
      </c>
      <c r="G34" s="8">
        <f t="shared" si="58"/>
        <v>6.5703547502302673E-3</v>
      </c>
      <c r="H34" s="33">
        <f t="shared" si="59"/>
        <v>5.0428953688995068E-2</v>
      </c>
      <c r="J34" s="23">
        <f>+_xlfn.XLOOKUP($B34,Revenue_FY25B!$B:$B,Revenue_FY25B!G:G,0)/1000</f>
        <v>0.12472640472714079</v>
      </c>
      <c r="K34" s="25">
        <v>0.16546831033401158</v>
      </c>
      <c r="L34" s="8">
        <f t="shared" si="60"/>
        <v>4.0741905606870785E-2</v>
      </c>
      <c r="M34" s="33">
        <f t="shared" si="61"/>
        <v>0.32665020446953713</v>
      </c>
      <c r="O34" s="23">
        <f>+_xlfn.XLOOKUP($B34,Revenue_FY25B!$B:$B,Revenue_FY25B!H:H,0)/1000</f>
        <v>0.12038544438186002</v>
      </c>
      <c r="P34" s="25">
        <v>0.16474633</v>
      </c>
      <c r="Q34" s="8">
        <f t="shared" si="62"/>
        <v>4.4360885618139972E-2</v>
      </c>
      <c r="R34" s="33">
        <f t="shared" si="63"/>
        <v>0.36849044206231613</v>
      </c>
      <c r="T34" s="23">
        <f>+_xlfn.XLOOKUP($B34,Revenue_FY25B!$B:$B,Revenue_FY25B!I:I,0)/1000</f>
        <v>0.13137546091131014</v>
      </c>
      <c r="U34" s="25">
        <v>8.4241079999999996E-2</v>
      </c>
      <c r="V34" s="8">
        <f t="shared" si="64"/>
        <v>-4.7134380911310142E-2</v>
      </c>
      <c r="W34" s="33">
        <f t="shared" si="65"/>
        <v>-0.35877614117852608</v>
      </c>
      <c r="Y34" s="23">
        <f>+_xlfn.XLOOKUP($B34,Revenue_FY25B!$B:$B,Revenue_FY25B!J:J,0)/1000</f>
        <v>0.11785172126154352</v>
      </c>
      <c r="Z34" s="25">
        <v>9.8895380000000005E-2</v>
      </c>
      <c r="AA34" s="8">
        <f t="shared" si="66"/>
        <v>-1.8956341261543511E-2</v>
      </c>
      <c r="AB34" s="33">
        <f t="shared" si="67"/>
        <v>-0.16084908271703963</v>
      </c>
      <c r="AD34" s="23">
        <f>+_xlfn.XLOOKUP($B34,Revenue_FY25B!$B:$B,Revenue_FY25B!K:K,0)/1000</f>
        <v>0.13432990458896765</v>
      </c>
      <c r="AE34" s="25">
        <v>0.14878881999999999</v>
      </c>
      <c r="AF34" s="8">
        <f t="shared" si="68"/>
        <v>1.4458915411032336E-2</v>
      </c>
      <c r="AG34" s="33">
        <f t="shared" si="69"/>
        <v>0.10763735338958789</v>
      </c>
      <c r="AI34" s="23">
        <f>+_xlfn.XLOOKUP($B34,Revenue_FY25B!$B:$B,Revenue_FY25B!L:L,0)/1000</f>
        <v>0.14531599255870997</v>
      </c>
      <c r="AJ34" s="25">
        <v>0.12640157534967167</v>
      </c>
      <c r="AK34" s="8">
        <f t="shared" si="70"/>
        <v>-1.8914417209038303E-2</v>
      </c>
      <c r="AL34" s="33">
        <f t="shared" si="71"/>
        <v>-0.13016060294531298</v>
      </c>
      <c r="AN34" s="23">
        <f>+_xlfn.XLOOKUP($B34,Revenue_FY25B!$B:$B,Revenue_FY25B!M:M,0)/1000</f>
        <v>0.12884802920544483</v>
      </c>
      <c r="AO34" s="25">
        <v>0.13717184598835896</v>
      </c>
      <c r="AP34" s="8">
        <f t="shared" si="72"/>
        <v>8.3238167829141341E-3</v>
      </c>
      <c r="AQ34" s="33">
        <f t="shared" si="73"/>
        <v>6.4601816839914755E-2</v>
      </c>
      <c r="AS34" s="23">
        <f>+_xlfn.XLOOKUP($B34,Revenue_FY25B!$B:$B,Revenue_FY25B!N:N,0)/1000</f>
        <v>0.13276599644136303</v>
      </c>
      <c r="AT34" s="25">
        <v>0.12382230080657418</v>
      </c>
      <c r="AU34" s="8">
        <f t="shared" si="74"/>
        <v>-8.943695634788848E-3</v>
      </c>
      <c r="AV34" s="33">
        <f t="shared" si="75"/>
        <v>-6.7364354386771685E-2</v>
      </c>
      <c r="AX34" s="23">
        <f>+_xlfn.XLOOKUP($B34,Revenue_FY25B!$B:$B,Revenue_FY25B!O:O,0)/1000</f>
        <v>0.13060906116924617</v>
      </c>
      <c r="AY34" s="25">
        <v>8.8525259999999995E-2</v>
      </c>
      <c r="AZ34" s="8">
        <f t="shared" si="76"/>
        <v>-4.2083801169246177E-2</v>
      </c>
      <c r="BA34" s="33">
        <f t="shared" si="77"/>
        <v>-0.32221195675476938</v>
      </c>
      <c r="BC34" s="23">
        <f>+_xlfn.XLOOKUP($B34,Revenue_FY25B!$B:$B,Revenue_FY25B!P:P,0)/1000</f>
        <v>0.12911252280041183</v>
      </c>
      <c r="BD34" s="25">
        <v>7.6129370000000002E-2</v>
      </c>
      <c r="BE34" s="8">
        <f t="shared" si="78"/>
        <v>-5.2983152800411826E-2</v>
      </c>
      <c r="BF34" s="33">
        <f t="shared" si="79"/>
        <v>-0.41036416647450735</v>
      </c>
      <c r="BH34" s="23">
        <f>+_xlfn.XLOOKUP($B34,Revenue_FY25B!$B:$B,Revenue_FY25B!Q:Q,0)/1000</f>
        <v>0.11665291898661168</v>
      </c>
      <c r="BI34" s="25">
        <v>6.7688200000000004E-2</v>
      </c>
      <c r="BJ34" s="8">
        <f t="shared" si="80"/>
        <v>-4.8964718986611672E-2</v>
      </c>
      <c r="BK34" s="33">
        <f t="shared" si="81"/>
        <v>-0.4197470531554498</v>
      </c>
      <c r="BM34" s="38">
        <f>Revenue_FY25B!D27/1000</f>
        <v>1.542</v>
      </c>
      <c r="BN34" s="38">
        <f t="shared" si="82"/>
        <v>1.4187381604311753</v>
      </c>
      <c r="BO34" s="8">
        <f t="shared" si="83"/>
        <v>-0.12326183956882475</v>
      </c>
      <c r="BP34" s="33">
        <f t="shared" si="84"/>
        <v>-7.9936342132830573E-2</v>
      </c>
    </row>
    <row r="35" spans="2:68" x14ac:dyDescent="0.25">
      <c r="B35">
        <f>+MAX($B$1:B34)+1</f>
        <v>17</v>
      </c>
      <c r="C35" s="7" t="s">
        <v>60</v>
      </c>
      <c r="E35" s="23">
        <f>+_xlfn.XLOOKUP($B35,Revenue_FY25B!$B:$B,Revenue_FY25B!F:F,0)/1000</f>
        <v>1.220286798555607E-2</v>
      </c>
      <c r="F35" s="25">
        <v>7.8605370379883199E-3</v>
      </c>
      <c r="G35" s="8">
        <f t="shared" si="58"/>
        <v>-4.3423309475677501E-3</v>
      </c>
      <c r="H35" s="33">
        <f t="shared" si="59"/>
        <v>-0.35584511384598705</v>
      </c>
      <c r="J35" s="23">
        <f>+_xlfn.XLOOKUP($B35,Revenue_FY25B!$B:$B,Revenue_FY25B!G:G,0)/1000</f>
        <v>1.0742307616606137E-2</v>
      </c>
      <c r="K35" s="25">
        <v>1.1721118598836955E-2</v>
      </c>
      <c r="L35" s="8">
        <f t="shared" si="60"/>
        <v>9.7881098223081761E-4</v>
      </c>
      <c r="M35" s="33">
        <f t="shared" si="61"/>
        <v>9.1117385310927959E-2</v>
      </c>
      <c r="O35" s="23">
        <f>+_xlfn.XLOOKUP($B35,Revenue_FY25B!$B:$B,Revenue_FY25B!H:H,0)/1000</f>
        <v>1.0407688068908112E-2</v>
      </c>
      <c r="P35" s="25">
        <v>1.027634E-2</v>
      </c>
      <c r="Q35" s="8">
        <f t="shared" si="62"/>
        <v>-1.3134806890811174E-4</v>
      </c>
      <c r="R35" s="33">
        <f t="shared" si="63"/>
        <v>-1.262029261815604E-2</v>
      </c>
      <c r="T35" s="23">
        <f>+_xlfn.XLOOKUP($B35,Revenue_FY25B!$B:$B,Revenue_FY25B!I:I,0)/1000</f>
        <v>1.1605177210426271E-2</v>
      </c>
      <c r="U35" s="25">
        <v>6.2373200000000002E-3</v>
      </c>
      <c r="V35" s="8">
        <f t="shared" si="64"/>
        <v>-5.3678572104262712E-3</v>
      </c>
      <c r="W35" s="33">
        <f t="shared" si="65"/>
        <v>-0.46253987449702233</v>
      </c>
      <c r="Y35" s="23">
        <f>+_xlfn.XLOOKUP($B35,Revenue_FY25B!$B:$B,Revenue_FY25B!J:J,0)/1000</f>
        <v>1.0359410125792879E-2</v>
      </c>
      <c r="Z35" s="25">
        <v>7.01639E-3</v>
      </c>
      <c r="AA35" s="8">
        <f t="shared" si="66"/>
        <v>-3.3430201257928791E-3</v>
      </c>
      <c r="AB35" s="33">
        <f t="shared" si="67"/>
        <v>-0.32270371432340739</v>
      </c>
      <c r="AD35" s="23">
        <f>+_xlfn.XLOOKUP($B35,Revenue_FY25B!$B:$B,Revenue_FY25B!K:K,0)/1000</f>
        <v>9.7053328796086642E-3</v>
      </c>
      <c r="AE35" s="25">
        <v>6.5676900000000002E-3</v>
      </c>
      <c r="AF35" s="8">
        <f t="shared" si="68"/>
        <v>-3.1376428796086641E-3</v>
      </c>
      <c r="AG35" s="33">
        <f t="shared" si="69"/>
        <v>-0.32329059894493584</v>
      </c>
      <c r="AI35" s="23">
        <f>+_xlfn.XLOOKUP($B35,Revenue_FY25B!$B:$B,Revenue_FY25B!L:L,0)/1000</f>
        <v>1.0012612394403379E-2</v>
      </c>
      <c r="AJ35" s="25">
        <v>7.5172588466246261E-3</v>
      </c>
      <c r="AK35" s="8">
        <f t="shared" si="70"/>
        <v>-2.4953535477787525E-3</v>
      </c>
      <c r="AL35" s="33">
        <f t="shared" si="71"/>
        <v>-0.24922102738877103</v>
      </c>
      <c r="AN35" s="23">
        <f>+_xlfn.XLOOKUP($B35,Revenue_FY25B!$B:$B,Revenue_FY25B!M:M,0)/1000</f>
        <v>8.4775867748620431E-3</v>
      </c>
      <c r="AO35" s="25">
        <v>8.4421628696834412E-3</v>
      </c>
      <c r="AP35" s="8">
        <f t="shared" si="72"/>
        <v>-3.5423905178601917E-5</v>
      </c>
      <c r="AQ35" s="33">
        <f t="shared" si="73"/>
        <v>-4.1785364301597933E-3</v>
      </c>
      <c r="AS35" s="23">
        <f>+_xlfn.XLOOKUP($B35,Revenue_FY25B!$B:$B,Revenue_FY25B!N:N,0)/1000</f>
        <v>1.0096476079907039E-2</v>
      </c>
      <c r="AT35" s="25">
        <v>8.8122264736155333E-3</v>
      </c>
      <c r="AU35" s="8">
        <f t="shared" si="74"/>
        <v>-1.284249606291506E-3</v>
      </c>
      <c r="AV35" s="33">
        <f t="shared" si="75"/>
        <v>-0.12719780605901562</v>
      </c>
      <c r="AX35" s="23">
        <f>+_xlfn.XLOOKUP($B35,Revenue_FY25B!$B:$B,Revenue_FY25B!O:O,0)/1000</f>
        <v>1.0161415815314106E-2</v>
      </c>
      <c r="AY35" s="25">
        <v>6.2939500000000004E-3</v>
      </c>
      <c r="AZ35" s="8">
        <f t="shared" si="76"/>
        <v>-3.8674658153141058E-3</v>
      </c>
      <c r="BA35" s="33">
        <f t="shared" si="77"/>
        <v>-0.38060304642641535</v>
      </c>
      <c r="BC35" s="23">
        <f>+_xlfn.XLOOKUP($B35,Revenue_FY25B!$B:$B,Revenue_FY25B!P:P,0)/1000</f>
        <v>9.9209783690189547E-3</v>
      </c>
      <c r="BD35" s="25">
        <v>5.4331700000000002E-3</v>
      </c>
      <c r="BE35" s="8">
        <f t="shared" si="78"/>
        <v>-4.4878083690189545E-3</v>
      </c>
      <c r="BF35" s="33">
        <f t="shared" si="79"/>
        <v>-0.45235542323460742</v>
      </c>
      <c r="BH35" s="23">
        <f>+_xlfn.XLOOKUP($B35,Revenue_FY25B!$B:$B,Revenue_FY25B!Q:Q,0)/1000</f>
        <v>1.1664124257819259E-2</v>
      </c>
      <c r="BI35" s="25">
        <v>5.6130900000000003E-3</v>
      </c>
      <c r="BJ35" s="8">
        <f t="shared" si="80"/>
        <v>-6.0510342578192584E-3</v>
      </c>
      <c r="BK35" s="33">
        <f t="shared" si="81"/>
        <v>-0.51877313067569875</v>
      </c>
      <c r="BM35" s="38">
        <f>Revenue_FY25B!D28/1000</f>
        <v>0.125</v>
      </c>
      <c r="BN35" s="38">
        <f t="shared" si="82"/>
        <v>9.1791253826748881E-2</v>
      </c>
      <c r="BO35" s="8">
        <f t="shared" si="83"/>
        <v>-3.3208746173251119E-2</v>
      </c>
      <c r="BP35" s="33">
        <f t="shared" si="84"/>
        <v>-0.26566996938600895</v>
      </c>
    </row>
    <row r="36" spans="2:68" x14ac:dyDescent="0.25">
      <c r="B36">
        <f>+MAX($B$1:B35)+1</f>
        <v>18</v>
      </c>
      <c r="C36" s="7" t="s">
        <v>61</v>
      </c>
      <c r="E36" s="23">
        <f>+_xlfn.XLOOKUP($B36,Revenue_FY25B!$B:$B,Revenue_FY25B!F:F,0)/1000</f>
        <v>1.9751476252843649E-2</v>
      </c>
      <c r="F36" s="25">
        <v>1.462449559994302E-2</v>
      </c>
      <c r="G36" s="8">
        <f t="shared" si="58"/>
        <v>-5.1269806529006291E-3</v>
      </c>
      <c r="H36" s="33">
        <f t="shared" si="59"/>
        <v>-0.25957455469499352</v>
      </c>
      <c r="J36" s="23">
        <f>+_xlfn.XLOOKUP($B36,Revenue_FY25B!$B:$B,Revenue_FY25B!G:G,0)/1000</f>
        <v>1.928578540050304E-2</v>
      </c>
      <c r="K36" s="25">
        <v>2.0130271390071206E-2</v>
      </c>
      <c r="L36" s="8">
        <f t="shared" si="60"/>
        <v>8.4448598956816598E-4</v>
      </c>
      <c r="M36" s="33">
        <f t="shared" si="61"/>
        <v>4.3788000956711821E-2</v>
      </c>
      <c r="O36" s="23">
        <f>+_xlfn.XLOOKUP($B36,Revenue_FY25B!$B:$B,Revenue_FY25B!H:H,0)/1000</f>
        <v>1.9375210447784633E-2</v>
      </c>
      <c r="P36" s="25">
        <v>1.9659570000000001E-2</v>
      </c>
      <c r="Q36" s="8">
        <f t="shared" si="62"/>
        <v>2.8435955221536857E-4</v>
      </c>
      <c r="R36" s="33">
        <f t="shared" si="63"/>
        <v>1.4676462636713312E-2</v>
      </c>
      <c r="T36" s="23">
        <f>+_xlfn.XLOOKUP($B36,Revenue_FY25B!$B:$B,Revenue_FY25B!I:I,0)/1000</f>
        <v>2.0139433009317941E-2</v>
      </c>
      <c r="U36" s="25">
        <v>1.2395059999999999E-2</v>
      </c>
      <c r="V36" s="8">
        <f t="shared" si="64"/>
        <v>-7.7443730093179411E-3</v>
      </c>
      <c r="W36" s="33">
        <f t="shared" si="65"/>
        <v>-0.38453778742106798</v>
      </c>
      <c r="Y36" s="23">
        <f>+_xlfn.XLOOKUP($B36,Revenue_FY25B!$B:$B,Revenue_FY25B!J:J,0)/1000</f>
        <v>1.9333686281994791E-2</v>
      </c>
      <c r="Z36" s="25">
        <v>1.491307E-2</v>
      </c>
      <c r="AA36" s="8">
        <f t="shared" si="66"/>
        <v>-4.4206162819947908E-3</v>
      </c>
      <c r="AB36" s="33">
        <f t="shared" si="67"/>
        <v>-0.228648392112975</v>
      </c>
      <c r="AD36" s="23">
        <f>+_xlfn.XLOOKUP($B36,Revenue_FY25B!$B:$B,Revenue_FY25B!K:K,0)/1000</f>
        <v>1.8714017355669545E-2</v>
      </c>
      <c r="AE36" s="25">
        <v>1.0865710000000001E-2</v>
      </c>
      <c r="AF36" s="8">
        <f t="shared" si="68"/>
        <v>-7.8483073556695447E-3</v>
      </c>
      <c r="AG36" s="33">
        <f t="shared" si="69"/>
        <v>-0.41938121604294887</v>
      </c>
      <c r="AI36" s="23">
        <f>+_xlfn.XLOOKUP($B36,Revenue_FY25B!$B:$B,Revenue_FY25B!L:L,0)/1000</f>
        <v>1.8377029042531242E-2</v>
      </c>
      <c r="AJ36" s="25">
        <v>1.3145789731288377E-2</v>
      </c>
      <c r="AK36" s="8">
        <f t="shared" si="70"/>
        <v>-5.2312393112428652E-3</v>
      </c>
      <c r="AL36" s="33">
        <f t="shared" si="71"/>
        <v>-0.28466186232474477</v>
      </c>
      <c r="AN36" s="23">
        <f>+_xlfn.XLOOKUP($B36,Revenue_FY25B!$B:$B,Revenue_FY25B!M:M,0)/1000</f>
        <v>1.5097700560912542E-2</v>
      </c>
      <c r="AO36" s="25">
        <v>1.349528343020838E-2</v>
      </c>
      <c r="AP36" s="8">
        <f t="shared" si="72"/>
        <v>-1.6024171307041628E-3</v>
      </c>
      <c r="AQ36" s="33">
        <f t="shared" si="73"/>
        <v>-0.10613650232623958</v>
      </c>
      <c r="AS36" s="23">
        <f>+_xlfn.XLOOKUP($B36,Revenue_FY25B!$B:$B,Revenue_FY25B!N:N,0)/1000</f>
        <v>1.6076216036536185E-2</v>
      </c>
      <c r="AT36" s="25">
        <v>1.3582633954603527E-2</v>
      </c>
      <c r="AU36" s="8">
        <f t="shared" si="74"/>
        <v>-2.493582081932658E-3</v>
      </c>
      <c r="AV36" s="33">
        <f t="shared" si="75"/>
        <v>-0.15511001321862869</v>
      </c>
      <c r="AX36" s="23">
        <f>+_xlfn.XLOOKUP($B36,Revenue_FY25B!$B:$B,Revenue_FY25B!O:O,0)/1000</f>
        <v>1.5459450671101981E-2</v>
      </c>
      <c r="AY36" s="25">
        <v>1.053547E-2</v>
      </c>
      <c r="AZ36" s="8">
        <f t="shared" si="76"/>
        <v>-4.923980671101981E-3</v>
      </c>
      <c r="BA36" s="33">
        <f t="shared" si="77"/>
        <v>-0.31850942028013146</v>
      </c>
      <c r="BC36" s="23">
        <f>+_xlfn.XLOOKUP($B36,Revenue_FY25B!$B:$B,Revenue_FY25B!P:P,0)/1000</f>
        <v>2.0544334404522729E-2</v>
      </c>
      <c r="BD36" s="25">
        <v>1.0183269999999999E-2</v>
      </c>
      <c r="BE36" s="8">
        <f t="shared" si="78"/>
        <v>-1.0361064404522729E-2</v>
      </c>
      <c r="BF36" s="33">
        <f t="shared" si="79"/>
        <v>-0.50432709089089767</v>
      </c>
      <c r="BH36" s="23">
        <f>+_xlfn.XLOOKUP($B36,Revenue_FY25B!$B:$B,Revenue_FY25B!Q:Q,0)/1000</f>
        <v>1.9757062105281685E-2</v>
      </c>
      <c r="BI36" s="25">
        <v>1.0025559999999999E-2</v>
      </c>
      <c r="BJ36" s="8">
        <f t="shared" si="80"/>
        <v>-9.7315021052816857E-3</v>
      </c>
      <c r="BK36" s="33">
        <f t="shared" si="81"/>
        <v>-0.49255815735276492</v>
      </c>
      <c r="BM36" s="38">
        <f>Revenue_FY25B!D29/1000</f>
        <v>0.222</v>
      </c>
      <c r="BN36" s="38">
        <f t="shared" si="82"/>
        <v>0.1635561841061145</v>
      </c>
      <c r="BO36" s="8">
        <f t="shared" si="83"/>
        <v>-5.8443815893885503E-2</v>
      </c>
      <c r="BP36" s="33">
        <f t="shared" si="84"/>
        <v>-0.26326043195443921</v>
      </c>
    </row>
    <row r="37" spans="2:68" s="5" customFormat="1" x14ac:dyDescent="0.25">
      <c r="C37" s="10" t="s">
        <v>65</v>
      </c>
      <c r="E37" s="24">
        <f>SUM(E31:E36)</f>
        <v>8.5657360456903433</v>
      </c>
      <c r="F37" s="24">
        <f>SUM(F31:F36)</f>
        <v>5.7098906072006299</v>
      </c>
      <c r="G37" s="24">
        <f t="shared" si="58"/>
        <v>-2.8558454384897134</v>
      </c>
      <c r="H37" s="34">
        <f t="shared" si="59"/>
        <v>-0.33340339035155858</v>
      </c>
      <c r="J37" s="24">
        <f>SUM(J31:J36)</f>
        <v>8.4417369929985604</v>
      </c>
      <c r="K37" s="24">
        <f>SUM(K31:K36)</f>
        <v>8.7073910086545432</v>
      </c>
      <c r="L37" s="24">
        <f t="shared" si="60"/>
        <v>0.26565401565598279</v>
      </c>
      <c r="M37" s="34">
        <f t="shared" si="61"/>
        <v>3.1469117774731895E-2</v>
      </c>
      <c r="O37" s="24">
        <f>SUM(O31:O36)</f>
        <v>8.3059602322494896</v>
      </c>
      <c r="P37" s="24">
        <f>SUM(P31:P36)</f>
        <v>8.3551744940000017</v>
      </c>
      <c r="Q37" s="24">
        <f t="shared" si="62"/>
        <v>4.9214261750512023E-2</v>
      </c>
      <c r="R37" s="34">
        <f t="shared" si="63"/>
        <v>5.9251742573276688E-3</v>
      </c>
      <c r="T37" s="24">
        <f>SUM(T31:T36)</f>
        <v>8.475799554066338</v>
      </c>
      <c r="U37" s="24">
        <f>SUM(U31:U36)</f>
        <v>5.5540666430000005</v>
      </c>
      <c r="V37" s="24">
        <f t="shared" si="64"/>
        <v>-2.9217329110663375</v>
      </c>
      <c r="W37" s="34">
        <f t="shared" si="65"/>
        <v>-0.34471472483850929</v>
      </c>
      <c r="Y37" s="24">
        <f>SUM(Y31:Y36)</f>
        <v>7.7454931270285439</v>
      </c>
      <c r="Z37" s="24">
        <f>SUM(Z31:Z36)</f>
        <v>5.2967771530000016</v>
      </c>
      <c r="AA37" s="24">
        <f t="shared" si="66"/>
        <v>-2.4487159740285422</v>
      </c>
      <c r="AB37" s="34">
        <f t="shared" si="67"/>
        <v>-0.31614720120059803</v>
      </c>
      <c r="AD37" s="24">
        <f>SUM(AD31:AD36)</f>
        <v>7.5557324260945817</v>
      </c>
      <c r="AE37" s="24">
        <f>SUM(AE31:AE36)</f>
        <v>5.0648159849999992</v>
      </c>
      <c r="AF37" s="24">
        <f t="shared" si="68"/>
        <v>-2.4909164410945825</v>
      </c>
      <c r="AG37" s="34">
        <f t="shared" si="69"/>
        <v>-0.32967239979170243</v>
      </c>
      <c r="AI37" s="24">
        <f>SUM(AI31:AI36)</f>
        <v>7.014447041646207</v>
      </c>
      <c r="AJ37" s="24">
        <f>SUM(AJ31:AJ36)</f>
        <v>5.0632607386729278</v>
      </c>
      <c r="AK37" s="24">
        <f t="shared" si="70"/>
        <v>-1.9511863029732792</v>
      </c>
      <c r="AL37" s="34">
        <f t="shared" si="71"/>
        <v>-0.27816680222812817</v>
      </c>
      <c r="AN37" s="24">
        <f>SUM(AN31:AN36)</f>
        <v>6.4053977964586375</v>
      </c>
      <c r="AO37" s="24">
        <f>SUM(AO31:AO36)</f>
        <v>5.4148322635242998</v>
      </c>
      <c r="AP37" s="24">
        <f t="shared" si="72"/>
        <v>-0.99056553293433769</v>
      </c>
      <c r="AQ37" s="34">
        <f t="shared" si="73"/>
        <v>-0.15464543567957531</v>
      </c>
      <c r="AS37" s="24">
        <f>SUM(AS31:AS36)</f>
        <v>7.6015247212423969</v>
      </c>
      <c r="AT37" s="24">
        <f>SUM(AT31:AT36)</f>
        <v>5.4400047760659733</v>
      </c>
      <c r="AU37" s="24">
        <f t="shared" si="74"/>
        <v>-2.1615199451764235</v>
      </c>
      <c r="AV37" s="34">
        <f t="shared" si="75"/>
        <v>-0.28435347176285231</v>
      </c>
      <c r="AX37" s="24">
        <f>SUM(AX31:AX36)</f>
        <v>7.4079283864318093</v>
      </c>
      <c r="AY37" s="24">
        <f>SUM(AY31:AY36)</f>
        <v>4.2571369149999994</v>
      </c>
      <c r="AZ37" s="24">
        <f t="shared" si="76"/>
        <v>-3.1507914714318099</v>
      </c>
      <c r="BA37" s="34">
        <f t="shared" si="77"/>
        <v>-0.42532693447775854</v>
      </c>
      <c r="BC37" s="24">
        <f>SUM(BC31:BC36)</f>
        <v>8.1316430041902859</v>
      </c>
      <c r="BD37" s="24">
        <f>SUM(BD31:BD36)</f>
        <v>3.9705521410000002</v>
      </c>
      <c r="BE37" s="24">
        <f t="shared" si="78"/>
        <v>-4.1610908631902852</v>
      </c>
      <c r="BF37" s="34">
        <f t="shared" si="79"/>
        <v>-0.51171588091681464</v>
      </c>
      <c r="BH37" s="24">
        <f>SUM(BH31:BH36)</f>
        <v>8.1086174669090383</v>
      </c>
      <c r="BI37" s="24">
        <f>SUM(BI31:BI36)</f>
        <v>4.1993050589999994</v>
      </c>
      <c r="BJ37" s="24">
        <f t="shared" si="80"/>
        <v>-3.9093124079090389</v>
      </c>
      <c r="BK37" s="34">
        <f t="shared" si="81"/>
        <v>-0.48211824319778251</v>
      </c>
      <c r="BM37" s="24">
        <f>SUM(BM31:BM36)</f>
        <v>93.759999999999991</v>
      </c>
      <c r="BN37" s="24">
        <f>SUM(BN31:BN36)</f>
        <v>67.033207784118375</v>
      </c>
      <c r="BO37" s="24">
        <f>BN37-BM37</f>
        <v>-26.726792215881616</v>
      </c>
      <c r="BP37" s="34">
        <f t="shared" si="84"/>
        <v>-0.28505537772911282</v>
      </c>
    </row>
    <row r="38" spans="2:68" x14ac:dyDescent="0.25">
      <c r="C38" s="5"/>
      <c r="D38" s="5"/>
      <c r="E38" s="14"/>
      <c r="F38" s="13"/>
      <c r="G38" s="14"/>
      <c r="H38" s="11"/>
      <c r="I38" s="5"/>
      <c r="J38" s="14"/>
      <c r="K38" s="13"/>
      <c r="L38" s="14"/>
      <c r="M38" s="11"/>
      <c r="N38" s="5"/>
      <c r="O38" s="14"/>
      <c r="P38" s="13"/>
      <c r="Q38" s="14"/>
      <c r="R38" s="11"/>
      <c r="S38" s="5"/>
      <c r="T38" s="14"/>
      <c r="U38" s="13"/>
      <c r="V38" s="14"/>
      <c r="W38" s="11"/>
      <c r="X38" s="5"/>
      <c r="Y38" s="14"/>
      <c r="Z38" s="13"/>
      <c r="AA38" s="14"/>
      <c r="AB38" s="11"/>
      <c r="AC38" s="5"/>
      <c r="AD38" s="14"/>
      <c r="AE38" s="13"/>
      <c r="AF38" s="14"/>
      <c r="AG38" s="11"/>
      <c r="AH38" s="5"/>
      <c r="AI38" s="14"/>
      <c r="AJ38" s="13"/>
      <c r="AK38" s="14"/>
      <c r="AL38" s="11"/>
      <c r="AM38" s="5"/>
      <c r="AN38" s="14"/>
      <c r="AO38" s="13"/>
      <c r="AP38" s="14"/>
      <c r="AQ38" s="11"/>
      <c r="AR38" s="5"/>
      <c r="AS38" s="14"/>
      <c r="AT38" s="13"/>
      <c r="AU38" s="14"/>
      <c r="AV38" s="11"/>
      <c r="AW38" s="5"/>
      <c r="AX38" s="14"/>
      <c r="AY38" s="13"/>
      <c r="AZ38" s="14"/>
      <c r="BA38" s="11"/>
      <c r="BB38" s="5"/>
      <c r="BC38" s="14"/>
      <c r="BD38" s="13"/>
      <c r="BE38" s="14"/>
      <c r="BF38" s="11"/>
      <c r="BG38" s="5"/>
      <c r="BH38" s="14"/>
      <c r="BI38" s="13"/>
      <c r="BJ38" s="14"/>
      <c r="BK38" s="11"/>
      <c r="BL38" s="5"/>
      <c r="BM38" s="14"/>
      <c r="BN38" s="13"/>
      <c r="BO38" s="14"/>
      <c r="BP38" s="11"/>
    </row>
    <row r="39" spans="2:68" x14ac:dyDescent="0.25">
      <c r="C39" s="6" t="s">
        <v>66</v>
      </c>
      <c r="D39" s="6"/>
      <c r="E39" s="14"/>
      <c r="F39" s="13"/>
      <c r="G39" s="14"/>
      <c r="H39" s="11"/>
      <c r="I39" s="6"/>
      <c r="J39" s="14"/>
      <c r="K39" s="13"/>
      <c r="L39" s="14"/>
      <c r="M39" s="39"/>
      <c r="N39" s="6"/>
      <c r="O39" s="14"/>
      <c r="P39" s="13"/>
      <c r="Q39" s="14"/>
      <c r="R39" s="39"/>
      <c r="S39" s="6"/>
      <c r="T39" s="14"/>
      <c r="U39" s="13"/>
      <c r="V39" s="14"/>
      <c r="W39" s="39"/>
      <c r="X39" s="6"/>
      <c r="Y39" s="14"/>
      <c r="Z39" s="13"/>
      <c r="AA39" s="14"/>
      <c r="AB39" s="39"/>
      <c r="AC39" s="6"/>
      <c r="AD39" s="14"/>
      <c r="AE39" s="13"/>
      <c r="AF39" s="14"/>
      <c r="AG39" s="39"/>
      <c r="AH39" s="6"/>
      <c r="AI39" s="14"/>
      <c r="AJ39" s="13"/>
      <c r="AK39" s="14"/>
      <c r="AL39" s="39"/>
      <c r="AM39" s="6"/>
      <c r="AN39" s="14"/>
      <c r="AO39" s="13"/>
      <c r="AP39" s="14"/>
      <c r="AQ39" s="39"/>
      <c r="AR39" s="6"/>
      <c r="AS39" s="14"/>
      <c r="AT39" s="13"/>
      <c r="AU39" s="14"/>
      <c r="AV39" s="39"/>
      <c r="AW39" s="6"/>
      <c r="AX39" s="14"/>
      <c r="AY39" s="13"/>
      <c r="AZ39" s="14"/>
      <c r="BA39" s="39"/>
      <c r="BB39" s="6"/>
      <c r="BC39" s="14"/>
      <c r="BD39" s="13"/>
      <c r="BE39" s="14"/>
      <c r="BF39" s="39"/>
      <c r="BG39" s="6"/>
      <c r="BH39" s="14"/>
      <c r="BI39" s="13"/>
      <c r="BJ39" s="14"/>
      <c r="BK39" s="39"/>
      <c r="BL39" s="6"/>
      <c r="BM39" s="14"/>
      <c r="BN39" s="13"/>
      <c r="BO39" s="14"/>
      <c r="BP39" s="39"/>
    </row>
    <row r="40" spans="2:68" x14ac:dyDescent="0.25">
      <c r="B40">
        <f>+MAX($B$1:B39)+1</f>
        <v>19</v>
      </c>
      <c r="C40" s="7" t="s">
        <v>56</v>
      </c>
      <c r="E40" s="23">
        <f>+_xlfn.XLOOKUP($B40,Revenue_FY25B!$B:$B,Revenue_FY25B!F:F,0)/1000</f>
        <v>7.73522963947185</v>
      </c>
      <c r="F40" s="25">
        <v>6.4731427980057781</v>
      </c>
      <c r="G40" s="8">
        <f t="shared" ref="G40:G46" si="85">F40-E40</f>
        <v>-1.262086841466072</v>
      </c>
      <c r="H40" s="33">
        <f t="shared" ref="H40:H46" si="86">IFERROR(G40/E40,"n.a.")</f>
        <v>-0.16316087566758333</v>
      </c>
      <c r="J40" s="23">
        <f>+_xlfn.XLOOKUP($B40,Revenue_FY25B!$B:$B,Revenue_FY25B!G:G,0)/1000</f>
        <v>7.5290034547010887</v>
      </c>
      <c r="K40" s="25">
        <v>7.6134370910507796</v>
      </c>
      <c r="L40" s="8">
        <f t="shared" ref="L40:L46" si="87">K40-J40</f>
        <v>8.4433636349690921E-2</v>
      </c>
      <c r="M40" s="33">
        <f t="shared" ref="M40:M46" si="88">IFERROR(L40/J40,"n.a.")</f>
        <v>1.1214450472455395E-2</v>
      </c>
      <c r="O40" s="23">
        <f>+_xlfn.XLOOKUP($B40,Revenue_FY25B!$B:$B,Revenue_FY25B!H:H,0)/1000</f>
        <v>7.2836249214850799</v>
      </c>
      <c r="P40" s="25">
        <v>5.9714195639999996</v>
      </c>
      <c r="Q40" s="8">
        <f t="shared" ref="Q40:Q46" si="89">P40-O40</f>
        <v>-1.3122053574850803</v>
      </c>
      <c r="R40" s="33">
        <f t="shared" ref="R40:R46" si="90">IFERROR(Q40/O40,"n.a.")</f>
        <v>-0.18015828267245959</v>
      </c>
      <c r="T40" s="23">
        <f>+_xlfn.XLOOKUP($B40,Revenue_FY25B!$B:$B,Revenue_FY25B!I:I,0)/1000</f>
        <v>7.4237049104942754</v>
      </c>
      <c r="U40" s="25">
        <v>7.9738210309999999</v>
      </c>
      <c r="V40" s="8">
        <f t="shared" ref="V40:V46" si="91">U40-T40</f>
        <v>0.55011612050572456</v>
      </c>
      <c r="W40" s="33">
        <f t="shared" ref="W40:W46" si="92">IFERROR(V40/T40,"n.a.")</f>
        <v>7.4102638391252737E-2</v>
      </c>
      <c r="Y40" s="23">
        <f>+_xlfn.XLOOKUP($B40,Revenue_FY25B!$B:$B,Revenue_FY25B!J:J,0)/1000</f>
        <v>6.5084980570302067</v>
      </c>
      <c r="Z40" s="25">
        <v>6.8025867560000002</v>
      </c>
      <c r="AA40" s="8">
        <f t="shared" ref="AA40:AA46" si="93">Z40-Y40</f>
        <v>0.29408869896979351</v>
      </c>
      <c r="AB40" s="33">
        <f t="shared" ref="AB40:AB46" si="94">IFERROR(AA40/Y40,"n.a.")</f>
        <v>4.5185340211038587E-2</v>
      </c>
      <c r="AD40" s="23">
        <f>+_xlfn.XLOOKUP($B40,Revenue_FY25B!$B:$B,Revenue_FY25B!K:K,0)/1000</f>
        <v>6.34115616926037</v>
      </c>
      <c r="AE40" s="25">
        <v>6.9538214270000003</v>
      </c>
      <c r="AF40" s="8">
        <f t="shared" ref="AF40:AF46" si="95">AE40-AD40</f>
        <v>0.61266525773963032</v>
      </c>
      <c r="AG40" s="33">
        <f t="shared" ref="AG40:AG46" si="96">IFERROR(AF40/AD40,"n.a.")</f>
        <v>9.6617279465471884E-2</v>
      </c>
      <c r="AI40" s="23">
        <f>+_xlfn.XLOOKUP($B40,Revenue_FY25B!$B:$B,Revenue_FY25B!L:L,0)/1000</f>
        <v>6.0036895794934555</v>
      </c>
      <c r="AJ40" s="25">
        <v>6.7593530954655252</v>
      </c>
      <c r="AK40" s="8">
        <f t="shared" ref="AK40:AK46" si="97">AJ40-AI40</f>
        <v>0.75566351597206971</v>
      </c>
      <c r="AL40" s="33">
        <f t="shared" ref="AL40:AL46" si="98">IFERROR(AK40/AI40,"n.a.")</f>
        <v>0.12586652024001327</v>
      </c>
      <c r="AN40" s="23">
        <f>+_xlfn.XLOOKUP($B40,Revenue_FY25B!$B:$B,Revenue_FY25B!M:M,0)/1000</f>
        <v>5.1175835868115636</v>
      </c>
      <c r="AO40" s="25">
        <v>6.1029451456294854</v>
      </c>
      <c r="AP40" s="8">
        <f t="shared" ref="AP40:AP46" si="99">AO40-AN40</f>
        <v>0.98536155881792187</v>
      </c>
      <c r="AQ40" s="33">
        <f t="shared" ref="AQ40:AQ46" si="100">IFERROR(AP40/AN40,"n.a.")</f>
        <v>0.19254430183754695</v>
      </c>
      <c r="AS40" s="23">
        <f>+_xlfn.XLOOKUP($B40,Revenue_FY25B!$B:$B,Revenue_FY25B!N:N,0)/1000</f>
        <v>5.9065359406289373</v>
      </c>
      <c r="AT40" s="25">
        <v>6.6854514917781254</v>
      </c>
      <c r="AU40" s="8">
        <f t="shared" ref="AU40:AU46" si="101">AT40-AS40</f>
        <v>0.77891555114918809</v>
      </c>
      <c r="AV40" s="33">
        <f t="shared" ref="AV40:AV46" si="102">IFERROR(AU40/AS40,"n.a.")</f>
        <v>0.13187349725433956</v>
      </c>
      <c r="AX40" s="23">
        <f>+_xlfn.XLOOKUP($B40,Revenue_FY25B!$B:$B,Revenue_FY25B!O:O,0)/1000</f>
        <v>6.0667054232981457</v>
      </c>
      <c r="AY40" s="25">
        <v>5.1241588690000004</v>
      </c>
      <c r="AZ40" s="8">
        <f t="shared" ref="AZ40:AZ46" si="103">AY40-AX40</f>
        <v>-0.94254655429814527</v>
      </c>
      <c r="BA40" s="33">
        <f t="shared" ref="BA40:BA46" si="104">IFERROR(AZ40/AX40,"n.a.")</f>
        <v>-0.15536382410763777</v>
      </c>
      <c r="BC40" s="23">
        <f>+_xlfn.XLOOKUP($B40,Revenue_FY25B!$B:$B,Revenue_FY25B!P:P,0)/1000</f>
        <v>7.0917335903051013</v>
      </c>
      <c r="BD40" s="25">
        <v>5.5354784920000002</v>
      </c>
      <c r="BE40" s="8">
        <f t="shared" ref="BE40:BE46" si="105">BD40-BC40</f>
        <v>-1.5562550983051011</v>
      </c>
      <c r="BF40" s="33">
        <f t="shared" ref="BF40:BF46" si="106">IFERROR(BE40/BC40,"n.a.")</f>
        <v>-0.21944635659080755</v>
      </c>
      <c r="BH40" s="23">
        <f>+_xlfn.XLOOKUP($B40,Revenue_FY25B!$B:$B,Revenue_FY25B!Q:Q,0)/1000</f>
        <v>7.1258690280030326</v>
      </c>
      <c r="BI40" s="25">
        <v>6.1512019489999998</v>
      </c>
      <c r="BJ40" s="8">
        <f t="shared" ref="BJ40:BJ46" si="107">BI40-BH40</f>
        <v>-0.97466707900303273</v>
      </c>
      <c r="BK40" s="33">
        <f t="shared" ref="BK40:BK46" si="108">IFERROR(BJ40/BH40,"n.a.")</f>
        <v>-0.13677869676986967</v>
      </c>
      <c r="BM40" s="38">
        <f>Revenue_FY25B!D33/1000</f>
        <v>80.132999999999996</v>
      </c>
      <c r="BN40" s="38">
        <f t="shared" ref="BN40:BN45" si="109">+F40+K40+P40+U40+Z40+AE40+AJ40+AO40+AT40+AY40+BD40+BI40</f>
        <v>78.146817709929692</v>
      </c>
      <c r="BO40" s="8">
        <f t="shared" ref="BO40:BO46" si="110">BN40-BM40</f>
        <v>-1.9861822900703032</v>
      </c>
      <c r="BP40" s="33">
        <f t="shared" ref="BP40:BP46" si="111">IFERROR(BO40/BM40,"n.a.")</f>
        <v>-2.4786071781541977E-2</v>
      </c>
    </row>
    <row r="41" spans="2:68" x14ac:dyDescent="0.25">
      <c r="B41">
        <f>+MAX($B$1:B40)+1</f>
        <v>20</v>
      </c>
      <c r="C41" s="7" t="s">
        <v>57</v>
      </c>
      <c r="E41" s="23">
        <f>+_xlfn.XLOOKUP($B41,Revenue_FY25B!$B:$B,Revenue_FY25B!F:F,0)/1000</f>
        <v>8.5985050754353232</v>
      </c>
      <c r="F41" s="25">
        <v>6.3931998020858938</v>
      </c>
      <c r="G41" s="8">
        <f t="shared" si="85"/>
        <v>-2.2053052733494294</v>
      </c>
      <c r="H41" s="33">
        <f t="shared" si="86"/>
        <v>-0.25647542846135724</v>
      </c>
      <c r="J41" s="23">
        <f>+_xlfn.XLOOKUP($B41,Revenue_FY25B!$B:$B,Revenue_FY25B!G:G,0)/1000</f>
        <v>8.50046354119557</v>
      </c>
      <c r="K41" s="25">
        <v>7.0386149592352361</v>
      </c>
      <c r="L41" s="8">
        <f t="shared" si="87"/>
        <v>-1.461848581960334</v>
      </c>
      <c r="M41" s="33">
        <f t="shared" si="88"/>
        <v>-0.17197280770346418</v>
      </c>
      <c r="O41" s="23">
        <f>+_xlfn.XLOOKUP($B41,Revenue_FY25B!$B:$B,Revenue_FY25B!H:H,0)/1000</f>
        <v>8.5678664640940916</v>
      </c>
      <c r="P41" s="25">
        <v>6.3474007200000004</v>
      </c>
      <c r="Q41" s="8">
        <f t="shared" si="89"/>
        <v>-2.2204657440940911</v>
      </c>
      <c r="R41" s="33">
        <f t="shared" si="90"/>
        <v>-0.25916203916103731</v>
      </c>
      <c r="T41" s="23">
        <f>+_xlfn.XLOOKUP($B41,Revenue_FY25B!$B:$B,Revenue_FY25B!I:I,0)/1000</f>
        <v>8.7510497315490348</v>
      </c>
      <c r="U41" s="25">
        <v>8.6519835900000004</v>
      </c>
      <c r="V41" s="8">
        <f t="shared" si="91"/>
        <v>-9.906614154903437E-2</v>
      </c>
      <c r="W41" s="33">
        <f t="shared" si="92"/>
        <v>-1.1320486637378365E-2</v>
      </c>
      <c r="Y41" s="23">
        <f>+_xlfn.XLOOKUP($B41,Revenue_FY25B!$B:$B,Revenue_FY25B!J:J,0)/1000</f>
        <v>8.1777220986039385</v>
      </c>
      <c r="Z41" s="25">
        <v>7.9669343499999998</v>
      </c>
      <c r="AA41" s="8">
        <f t="shared" si="93"/>
        <v>-0.21078774860393867</v>
      </c>
      <c r="AB41" s="33">
        <f t="shared" si="94"/>
        <v>-2.5775851277695452E-2</v>
      </c>
      <c r="AD41" s="23">
        <f>+_xlfn.XLOOKUP($B41,Revenue_FY25B!$B:$B,Revenue_FY25B!K:K,0)/1000</f>
        <v>7.9161443994080134</v>
      </c>
      <c r="AE41" s="25">
        <v>8.6873319200000001</v>
      </c>
      <c r="AF41" s="8">
        <f t="shared" si="95"/>
        <v>0.7711875205919867</v>
      </c>
      <c r="AG41" s="33">
        <f t="shared" si="96"/>
        <v>9.7419587324563933E-2</v>
      </c>
      <c r="AI41" s="23">
        <f>+_xlfn.XLOOKUP($B41,Revenue_FY25B!$B:$B,Revenue_FY25B!L:L,0)/1000</f>
        <v>7.3470441480562707</v>
      </c>
      <c r="AJ41" s="25">
        <v>8.3037357456374963</v>
      </c>
      <c r="AK41" s="8">
        <f t="shared" si="97"/>
        <v>0.95669159758122557</v>
      </c>
      <c r="AL41" s="33">
        <f t="shared" si="98"/>
        <v>0.13021448875250427</v>
      </c>
      <c r="AN41" s="23">
        <f>+_xlfn.XLOOKUP($B41,Revenue_FY25B!$B:$B,Revenue_FY25B!M:M,0)/1000</f>
        <v>6.8497634679343617</v>
      </c>
      <c r="AO41" s="25">
        <v>8.3866891158173935</v>
      </c>
      <c r="AP41" s="8">
        <f t="shared" si="99"/>
        <v>1.5369256478830318</v>
      </c>
      <c r="AQ41" s="33">
        <f t="shared" si="100"/>
        <v>0.22437645549044227</v>
      </c>
      <c r="AS41" s="23">
        <f>+_xlfn.XLOOKUP($B41,Revenue_FY25B!$B:$B,Revenue_FY25B!N:N,0)/1000</f>
        <v>8.3628622111460356</v>
      </c>
      <c r="AT41" s="25">
        <v>8.8965749210343024</v>
      </c>
      <c r="AU41" s="8">
        <f t="shared" si="101"/>
        <v>0.5337127098882668</v>
      </c>
      <c r="AV41" s="33">
        <f t="shared" si="102"/>
        <v>6.3819383413603742E-2</v>
      </c>
      <c r="AX41" s="23">
        <f>+_xlfn.XLOOKUP($B41,Revenue_FY25B!$B:$B,Revenue_FY25B!O:O,0)/1000</f>
        <v>8.0106278730345721</v>
      </c>
      <c r="AY41" s="25">
        <v>6.7163580500000002</v>
      </c>
      <c r="AZ41" s="8">
        <f t="shared" si="103"/>
        <v>-1.2942698230345719</v>
      </c>
      <c r="BA41" s="33">
        <f t="shared" si="104"/>
        <v>-0.16156908591289723</v>
      </c>
      <c r="BC41" s="23">
        <f>+_xlfn.XLOOKUP($B41,Revenue_FY25B!$B:$B,Revenue_FY25B!P:P,0)/1000</f>
        <v>8.3207723129012976</v>
      </c>
      <c r="BD41" s="25">
        <v>6.96361615</v>
      </c>
      <c r="BE41" s="8">
        <f t="shared" si="105"/>
        <v>-1.3571561629012976</v>
      </c>
      <c r="BF41" s="33">
        <f t="shared" si="106"/>
        <v>-0.16310459075980685</v>
      </c>
      <c r="BH41" s="23">
        <f>+_xlfn.XLOOKUP($B41,Revenue_FY25B!$B:$B,Revenue_FY25B!Q:Q,0)/1000</f>
        <v>8.219546343893894</v>
      </c>
      <c r="BI41" s="25">
        <v>6.99975433</v>
      </c>
      <c r="BJ41" s="8">
        <f t="shared" si="107"/>
        <v>-1.219792013893894</v>
      </c>
      <c r="BK41" s="33">
        <f t="shared" si="108"/>
        <v>-0.14840137920750926</v>
      </c>
      <c r="BM41" s="38">
        <f>Revenue_FY25B!D34/1000</f>
        <v>97.622</v>
      </c>
      <c r="BN41" s="38">
        <f t="shared" si="109"/>
        <v>91.352193653810332</v>
      </c>
      <c r="BO41" s="8">
        <f t="shared" si="110"/>
        <v>-6.269806346189668</v>
      </c>
      <c r="BP41" s="33">
        <f t="shared" si="111"/>
        <v>-6.4225342096962443E-2</v>
      </c>
    </row>
    <row r="42" spans="2:68" x14ac:dyDescent="0.25">
      <c r="B42">
        <f>+MAX($B$1:B41)+1</f>
        <v>21</v>
      </c>
      <c r="C42" s="7" t="s">
        <v>58</v>
      </c>
      <c r="E42" s="23">
        <f>+_xlfn.XLOOKUP($B42,Revenue_FY25B!$B:$B,Revenue_FY25B!F:F,0)/1000</f>
        <v>1.9045264611886716</v>
      </c>
      <c r="F42" s="25">
        <v>1.2230638335827031</v>
      </c>
      <c r="G42" s="8">
        <f t="shared" si="85"/>
        <v>-0.68146262760596854</v>
      </c>
      <c r="H42" s="33">
        <f t="shared" si="86"/>
        <v>-0.35781210788777773</v>
      </c>
      <c r="J42" s="23">
        <f>+_xlfn.XLOOKUP($B42,Revenue_FY25B!$B:$B,Revenue_FY25B!G:G,0)/1000</f>
        <v>1.9559305611030706</v>
      </c>
      <c r="K42" s="25">
        <v>1.5077331340000943</v>
      </c>
      <c r="L42" s="8">
        <f t="shared" si="87"/>
        <v>-0.44819742710297628</v>
      </c>
      <c r="M42" s="33">
        <f t="shared" si="88"/>
        <v>-0.22914792376382212</v>
      </c>
      <c r="O42" s="23">
        <f>+_xlfn.XLOOKUP($B42,Revenue_FY25B!$B:$B,Revenue_FY25B!H:H,0)/1000</f>
        <v>1.8491806752261362</v>
      </c>
      <c r="P42" s="25">
        <v>1.22875549</v>
      </c>
      <c r="Q42" s="8">
        <f t="shared" si="89"/>
        <v>-0.62042518522613621</v>
      </c>
      <c r="R42" s="33">
        <f t="shared" si="90"/>
        <v>-0.33551355664598026</v>
      </c>
      <c r="T42" s="23">
        <f>+_xlfn.XLOOKUP($B42,Revenue_FY25B!$B:$B,Revenue_FY25B!I:I,0)/1000</f>
        <v>1.8664135817491097</v>
      </c>
      <c r="U42" s="25">
        <v>1.8976647200000001</v>
      </c>
      <c r="V42" s="8">
        <f t="shared" si="91"/>
        <v>3.1251138250890431E-2</v>
      </c>
      <c r="W42" s="33">
        <f t="shared" si="92"/>
        <v>1.674395137095146E-2</v>
      </c>
      <c r="Y42" s="23">
        <f>+_xlfn.XLOOKUP($B42,Revenue_FY25B!$B:$B,Revenue_FY25B!J:J,0)/1000</f>
        <v>1.8037532502003337</v>
      </c>
      <c r="Z42" s="25">
        <v>1.52639601</v>
      </c>
      <c r="AA42" s="8">
        <f t="shared" si="93"/>
        <v>-0.2773572402003337</v>
      </c>
      <c r="AB42" s="33">
        <f t="shared" si="94"/>
        <v>-0.15376673065982224</v>
      </c>
      <c r="AD42" s="23">
        <f>+_xlfn.XLOOKUP($B42,Revenue_FY25B!$B:$B,Revenue_FY25B!K:K,0)/1000</f>
        <v>1.7878330542939982</v>
      </c>
      <c r="AE42" s="25">
        <v>1.95496962</v>
      </c>
      <c r="AF42" s="8">
        <f t="shared" si="95"/>
        <v>0.16713656570600177</v>
      </c>
      <c r="AG42" s="33">
        <f t="shared" si="96"/>
        <v>9.3485555211419186E-2</v>
      </c>
      <c r="AI42" s="23">
        <f>+_xlfn.XLOOKUP($B42,Revenue_FY25B!$B:$B,Revenue_FY25B!L:L,0)/1000</f>
        <v>1.4958589702968865</v>
      </c>
      <c r="AJ42" s="25">
        <v>1.4478715864998191</v>
      </c>
      <c r="AK42" s="8">
        <f t="shared" si="97"/>
        <v>-4.7987383797067462E-2</v>
      </c>
      <c r="AL42" s="33">
        <f t="shared" si="98"/>
        <v>-3.2080152440803492E-2</v>
      </c>
      <c r="AN42" s="23">
        <f>+_xlfn.XLOOKUP($B42,Revenue_FY25B!$B:$B,Revenue_FY25B!M:M,0)/1000</f>
        <v>1.6036037707797652</v>
      </c>
      <c r="AO42" s="25">
        <v>1.6666050001603048</v>
      </c>
      <c r="AP42" s="8">
        <f t="shared" si="99"/>
        <v>6.3001229380539536E-2</v>
      </c>
      <c r="AQ42" s="33">
        <f t="shared" si="100"/>
        <v>3.9287279394400951E-2</v>
      </c>
      <c r="AS42" s="23">
        <f>+_xlfn.XLOOKUP($B42,Revenue_FY25B!$B:$B,Revenue_FY25B!N:N,0)/1000</f>
        <v>1.8833895157097724</v>
      </c>
      <c r="AT42" s="25">
        <v>1.8330115992758738</v>
      </c>
      <c r="AU42" s="8">
        <f t="shared" si="101"/>
        <v>-5.0377916433898662E-2</v>
      </c>
      <c r="AV42" s="33">
        <f t="shared" si="102"/>
        <v>-2.6748538214578139E-2</v>
      </c>
      <c r="AX42" s="23">
        <f>+_xlfn.XLOOKUP($B42,Revenue_FY25B!$B:$B,Revenue_FY25B!O:O,0)/1000</f>
        <v>1.6611673966832612</v>
      </c>
      <c r="AY42" s="25">
        <v>1.1577040700000001</v>
      </c>
      <c r="AZ42" s="8">
        <f t="shared" si="103"/>
        <v>-0.5034633266832611</v>
      </c>
      <c r="BA42" s="33">
        <f t="shared" si="104"/>
        <v>-0.30307802072716555</v>
      </c>
      <c r="BC42" s="23">
        <f>+_xlfn.XLOOKUP($B42,Revenue_FY25B!$B:$B,Revenue_FY25B!P:P,0)/1000</f>
        <v>1.8894205205533303</v>
      </c>
      <c r="BD42" s="25">
        <v>1.3230833799999999</v>
      </c>
      <c r="BE42" s="8">
        <f t="shared" si="105"/>
        <v>-0.5663371405533304</v>
      </c>
      <c r="BF42" s="33">
        <f t="shared" si="106"/>
        <v>-0.29974118222632329</v>
      </c>
      <c r="BH42" s="23">
        <f>+_xlfn.XLOOKUP($B42,Revenue_FY25B!$B:$B,Revenue_FY25B!Q:Q,0)/1000</f>
        <v>1.9315050523190562</v>
      </c>
      <c r="BI42" s="25">
        <v>1.3052576300000001</v>
      </c>
      <c r="BJ42" s="8">
        <f t="shared" si="107"/>
        <v>-0.62624742231905617</v>
      </c>
      <c r="BK42" s="33">
        <f t="shared" si="108"/>
        <v>-0.32422769050857719</v>
      </c>
      <c r="BM42" s="38">
        <f>Revenue_FY25B!D35/1000</f>
        <v>21.632999999999999</v>
      </c>
      <c r="BN42" s="38">
        <f t="shared" si="109"/>
        <v>18.072116073518792</v>
      </c>
      <c r="BO42" s="8">
        <f t="shared" si="110"/>
        <v>-3.5608839264812069</v>
      </c>
      <c r="BP42" s="33">
        <f t="shared" si="111"/>
        <v>-0.16460425860866301</v>
      </c>
    </row>
    <row r="43" spans="2:68" x14ac:dyDescent="0.25">
      <c r="B43">
        <f>+MAX($B$1:B42)+1</f>
        <v>22</v>
      </c>
      <c r="C43" s="7" t="s">
        <v>59</v>
      </c>
      <c r="E43" s="23">
        <f>+_xlfn.XLOOKUP($B43,Revenue_FY25B!$B:$B,Revenue_FY25B!F:F,0)/1000</f>
        <v>0.28276944671021298</v>
      </c>
      <c r="F43" s="25">
        <v>0.22943041128388367</v>
      </c>
      <c r="G43" s="8">
        <f t="shared" si="85"/>
        <v>-5.3339035426329312E-2</v>
      </c>
      <c r="H43" s="33">
        <f t="shared" si="86"/>
        <v>-0.18863082998140204</v>
      </c>
      <c r="J43" s="23">
        <f>+_xlfn.XLOOKUP($B43,Revenue_FY25B!$B:$B,Revenue_FY25B!G:G,0)/1000</f>
        <v>0.27069611600573767</v>
      </c>
      <c r="K43" s="25">
        <v>0.2549526089511856</v>
      </c>
      <c r="L43" s="8">
        <f t="shared" si="87"/>
        <v>-1.5743507054552075E-2</v>
      </c>
      <c r="M43" s="33">
        <f t="shared" si="88"/>
        <v>-5.8159338548538227E-2</v>
      </c>
      <c r="O43" s="23">
        <f>+_xlfn.XLOOKUP($B43,Revenue_FY25B!$B:$B,Revenue_FY25B!H:H,0)/1000</f>
        <v>0.26127484624515157</v>
      </c>
      <c r="P43" s="25">
        <v>0.21427831999999999</v>
      </c>
      <c r="Q43" s="8">
        <f t="shared" si="89"/>
        <v>-4.6996526245151576E-2</v>
      </c>
      <c r="R43" s="33">
        <f t="shared" si="90"/>
        <v>-0.17987390259931568</v>
      </c>
      <c r="T43" s="23">
        <f>+_xlfn.XLOOKUP($B43,Revenue_FY25B!$B:$B,Revenue_FY25B!I:I,0)/1000</f>
        <v>0.28512669057490031</v>
      </c>
      <c r="U43" s="25">
        <v>0.30202459999999998</v>
      </c>
      <c r="V43" s="8">
        <f t="shared" si="91"/>
        <v>1.6897909425099666E-2</v>
      </c>
      <c r="W43" s="33">
        <f t="shared" si="92"/>
        <v>5.926456548500756E-2</v>
      </c>
      <c r="Y43" s="23">
        <f>+_xlfn.XLOOKUP($B43,Revenue_FY25B!$B:$B,Revenue_FY25B!J:J,0)/1000</f>
        <v>0.25577585820645959</v>
      </c>
      <c r="Z43" s="25">
        <v>0.31201343999999998</v>
      </c>
      <c r="AA43" s="8">
        <f t="shared" si="93"/>
        <v>5.6237581793540381E-2</v>
      </c>
      <c r="AB43" s="33">
        <f t="shared" si="94"/>
        <v>0.21987056240525246</v>
      </c>
      <c r="AD43" s="23">
        <f>+_xlfn.XLOOKUP($B43,Revenue_FY25B!$B:$B,Revenue_FY25B!K:K,0)/1000</f>
        <v>0.29153877653415794</v>
      </c>
      <c r="AE43" s="25">
        <v>0.56456293999999996</v>
      </c>
      <c r="AF43" s="8">
        <f t="shared" si="95"/>
        <v>0.27302416346584202</v>
      </c>
      <c r="AG43" s="33">
        <f t="shared" si="96"/>
        <v>0.93649348025528723</v>
      </c>
      <c r="AI43" s="23">
        <f>+_xlfn.XLOOKUP($B43,Revenue_FY25B!$B:$B,Revenue_FY25B!L:L,0)/1000</f>
        <v>0.3153820946351848</v>
      </c>
      <c r="AJ43" s="25">
        <v>0.43157886487242608</v>
      </c>
      <c r="AK43" s="8">
        <f t="shared" si="97"/>
        <v>0.11619677023724129</v>
      </c>
      <c r="AL43" s="33">
        <f t="shared" si="98"/>
        <v>0.36843172841391258</v>
      </c>
      <c r="AN43" s="23">
        <f>+_xlfn.XLOOKUP($B43,Revenue_FY25B!$B:$B,Revenue_FY25B!M:M,0)/1000</f>
        <v>0.27964135691404302</v>
      </c>
      <c r="AO43" s="25">
        <v>0.42010415946925511</v>
      </c>
      <c r="AP43" s="8">
        <f t="shared" si="99"/>
        <v>0.1404628025552121</v>
      </c>
      <c r="AQ43" s="33">
        <f t="shared" si="100"/>
        <v>0.50229624153335795</v>
      </c>
      <c r="AS43" s="23">
        <f>+_xlfn.XLOOKUP($B43,Revenue_FY25B!$B:$B,Revenue_FY25B!N:N,0)/1000</f>
        <v>0.28814459659068564</v>
      </c>
      <c r="AT43" s="25">
        <v>0.41514214130713373</v>
      </c>
      <c r="AU43" s="8">
        <f t="shared" si="101"/>
        <v>0.12699754471644809</v>
      </c>
      <c r="AV43" s="33">
        <f t="shared" si="102"/>
        <v>0.44074241272984993</v>
      </c>
      <c r="AX43" s="23">
        <f>+_xlfn.XLOOKUP($B43,Revenue_FY25B!$B:$B,Revenue_FY25B!O:O,0)/1000</f>
        <v>0.28346335846861248</v>
      </c>
      <c r="AY43" s="25">
        <v>0.27711060999999998</v>
      </c>
      <c r="AZ43" s="8">
        <f t="shared" si="103"/>
        <v>-6.3527484686125013E-3</v>
      </c>
      <c r="BA43" s="33">
        <f t="shared" si="104"/>
        <v>-2.2411180418282994E-2</v>
      </c>
      <c r="BC43" s="23">
        <f>+_xlfn.XLOOKUP($B43,Revenue_FY25B!$B:$B,Revenue_FY25B!P:P,0)/1000</f>
        <v>0.28021539245224852</v>
      </c>
      <c r="BD43" s="25">
        <v>0.29411310000000002</v>
      </c>
      <c r="BE43" s="8">
        <f t="shared" si="105"/>
        <v>1.3897707547751492E-2</v>
      </c>
      <c r="BF43" s="33">
        <f t="shared" si="106"/>
        <v>4.9596517258129559E-2</v>
      </c>
      <c r="BH43" s="23">
        <f>+_xlfn.XLOOKUP($B43,Revenue_FY25B!$B:$B,Revenue_FY25B!Q:Q,0)/1000</f>
        <v>0.25317407456335028</v>
      </c>
      <c r="BI43" s="25">
        <v>0.25776812999999998</v>
      </c>
      <c r="BJ43" s="8">
        <f t="shared" si="107"/>
        <v>4.5940554366497022E-3</v>
      </c>
      <c r="BK43" s="33">
        <f t="shared" si="108"/>
        <v>1.8145836790647213E-2</v>
      </c>
      <c r="BM43" s="38">
        <f>Revenue_FY25B!D36/1000</f>
        <v>3.347</v>
      </c>
      <c r="BN43" s="38">
        <f t="shared" si="109"/>
        <v>3.9730793258838841</v>
      </c>
      <c r="BO43" s="8">
        <f t="shared" si="110"/>
        <v>0.62607932588388415</v>
      </c>
      <c r="BP43" s="33">
        <f t="shared" si="111"/>
        <v>0.18705686462022234</v>
      </c>
    </row>
    <row r="44" spans="2:68" x14ac:dyDescent="0.25">
      <c r="B44">
        <f>+MAX($B$1:B43)+1</f>
        <v>23</v>
      </c>
      <c r="C44" s="7" t="s">
        <v>60</v>
      </c>
      <c r="E44" s="23">
        <f>+_xlfn.XLOOKUP($B44,Revenue_FY25B!$B:$B,Revenue_FY25B!F:F,0)/1000</f>
        <v>2.6484119181076567E-2</v>
      </c>
      <c r="F44" s="25">
        <v>1.8580693689081031E-2</v>
      </c>
      <c r="G44" s="8">
        <f t="shared" si="85"/>
        <v>-7.9034254919955367E-3</v>
      </c>
      <c r="H44" s="33">
        <f t="shared" si="86"/>
        <v>-0.29842130817938217</v>
      </c>
      <c r="J44" s="23">
        <f>+_xlfn.XLOOKUP($B44,Revenue_FY25B!$B:$B,Revenue_FY25B!G:G,0)/1000</f>
        <v>2.331423691010447E-2</v>
      </c>
      <c r="K44" s="25">
        <v>2.1298281947987985E-2</v>
      </c>
      <c r="L44" s="8">
        <f t="shared" si="87"/>
        <v>-2.0159549621164841E-3</v>
      </c>
      <c r="M44" s="33">
        <f t="shared" si="88"/>
        <v>-8.6468837469982227E-2</v>
      </c>
      <c r="O44" s="23">
        <f>+_xlfn.XLOOKUP($B44,Revenue_FY25B!$B:$B,Revenue_FY25B!H:H,0)/1000</f>
        <v>2.2588005667412824E-2</v>
      </c>
      <c r="P44" s="25">
        <v>1.5747400000000002E-2</v>
      </c>
      <c r="Q44" s="8">
        <f t="shared" si="89"/>
        <v>-6.8406056674128225E-3</v>
      </c>
      <c r="R44" s="33">
        <f t="shared" si="90"/>
        <v>-0.30284239202585295</v>
      </c>
      <c r="T44" s="23">
        <f>+_xlfn.XLOOKUP($B44,Revenue_FY25B!$B:$B,Revenue_FY25B!I:I,0)/1000</f>
        <v>2.5186939391808664E-2</v>
      </c>
      <c r="U44" s="25">
        <v>2.1594820000000001E-2</v>
      </c>
      <c r="V44" s="8">
        <f t="shared" si="91"/>
        <v>-3.5921193918086632E-3</v>
      </c>
      <c r="W44" s="33">
        <f t="shared" si="92"/>
        <v>-0.14261833627061882</v>
      </c>
      <c r="Y44" s="23">
        <f>+_xlfn.XLOOKUP($B44,Revenue_FY25B!$B:$B,Revenue_FY25B!J:J,0)/1000</f>
        <v>2.248322711856722E-2</v>
      </c>
      <c r="Z44" s="25">
        <v>2.2077490000000002E-2</v>
      </c>
      <c r="AA44" s="8">
        <f t="shared" si="93"/>
        <v>-4.0573711856721831E-4</v>
      </c>
      <c r="AB44" s="33">
        <f t="shared" si="94"/>
        <v>-1.8046213580796427E-2</v>
      </c>
      <c r="AD44" s="23">
        <f>+_xlfn.XLOOKUP($B44,Revenue_FY25B!$B:$B,Revenue_FY25B!K:K,0)/1000</f>
        <v>2.1063670686253349E-2</v>
      </c>
      <c r="AE44" s="25">
        <v>2.371098E-2</v>
      </c>
      <c r="AF44" s="8">
        <f t="shared" si="95"/>
        <v>2.6473093137466507E-3</v>
      </c>
      <c r="AG44" s="33">
        <f t="shared" si="96"/>
        <v>0.12568129046350632</v>
      </c>
      <c r="AI44" s="23">
        <f>+_xlfn.XLOOKUP($B44,Revenue_FY25B!$B:$B,Revenue_FY25B!L:L,0)/1000</f>
        <v>2.1730565329492892E-2</v>
      </c>
      <c r="AJ44" s="25">
        <v>2.5197374139416397E-2</v>
      </c>
      <c r="AK44" s="8">
        <f t="shared" si="97"/>
        <v>3.466808809923505E-3</v>
      </c>
      <c r="AL44" s="33">
        <f t="shared" si="98"/>
        <v>0.15953606164209291</v>
      </c>
      <c r="AN44" s="23">
        <f>+_xlfn.XLOOKUP($B44,Revenue_FY25B!$B:$B,Revenue_FY25B!M:M,0)/1000</f>
        <v>1.839906969239688E-2</v>
      </c>
      <c r="AO44" s="25">
        <v>2.5952278611533881E-2</v>
      </c>
      <c r="AP44" s="8">
        <f t="shared" si="99"/>
        <v>7.5532089191370014E-3</v>
      </c>
      <c r="AQ44" s="33">
        <f t="shared" si="100"/>
        <v>0.41052124077002894</v>
      </c>
      <c r="AS44" s="23">
        <f>+_xlfn.XLOOKUP($B44,Revenue_FY25B!$B:$B,Revenue_FY25B!N:N,0)/1000</f>
        <v>2.1912576299739576E-2</v>
      </c>
      <c r="AT44" s="25">
        <v>2.9042779972897115E-2</v>
      </c>
      <c r="AU44" s="8">
        <f t="shared" si="101"/>
        <v>7.1302036731575383E-3</v>
      </c>
      <c r="AV44" s="33">
        <f t="shared" si="102"/>
        <v>0.32539321600638432</v>
      </c>
      <c r="AX44" s="23">
        <f>+_xlfn.XLOOKUP($B44,Revenue_FY25B!$B:$B,Revenue_FY25B!O:O,0)/1000</f>
        <v>2.2053516256981109E-2</v>
      </c>
      <c r="AY44" s="25">
        <v>1.9716000000000001E-2</v>
      </c>
      <c r="AZ44" s="8">
        <f t="shared" si="103"/>
        <v>-2.3375162569811078E-3</v>
      </c>
      <c r="BA44" s="33">
        <f t="shared" si="104"/>
        <v>-0.10599290515593675</v>
      </c>
      <c r="BC44" s="23">
        <f>+_xlfn.XLOOKUP($B44,Revenue_FY25B!$B:$B,Revenue_FY25B!P:P,0)/1000</f>
        <v>2.1531690241096014E-2</v>
      </c>
      <c r="BD44" s="25">
        <v>1.9615339999999998E-2</v>
      </c>
      <c r="BE44" s="8">
        <f t="shared" si="105"/>
        <v>-1.9163502410960154E-3</v>
      </c>
      <c r="BF44" s="33">
        <f t="shared" si="106"/>
        <v>-8.9001384454175977E-2</v>
      </c>
      <c r="BH44" s="23">
        <f>+_xlfn.XLOOKUP($B44,Revenue_FY25B!$B:$B,Revenue_FY25B!Q:Q,0)/1000</f>
        <v>2.531487330294958E-2</v>
      </c>
      <c r="BI44" s="25">
        <v>1.998714E-2</v>
      </c>
      <c r="BJ44" s="8">
        <f t="shared" si="107"/>
        <v>-5.3277333029495798E-3</v>
      </c>
      <c r="BK44" s="33">
        <f t="shared" si="108"/>
        <v>-0.21045862008437605</v>
      </c>
      <c r="BM44" s="38">
        <f>Revenue_FY25B!D37/1000</f>
        <v>0.27200000000000002</v>
      </c>
      <c r="BN44" s="38">
        <f t="shared" si="109"/>
        <v>0.26252057836091641</v>
      </c>
      <c r="BO44" s="8">
        <f t="shared" si="110"/>
        <v>-9.4794216390836072E-3</v>
      </c>
      <c r="BP44" s="33">
        <f t="shared" si="111"/>
        <v>-3.485081484957208E-2</v>
      </c>
    </row>
    <row r="45" spans="2:68" x14ac:dyDescent="0.25">
      <c r="B45">
        <f>+MAX($B$1:B44)+1</f>
        <v>24</v>
      </c>
      <c r="C45" s="7" t="s">
        <v>61</v>
      </c>
      <c r="E45" s="23">
        <f>+_xlfn.XLOOKUP($B45,Revenue_FY25B!$B:$B,Revenue_FY25B!F:F,0)/1000</f>
        <v>4.286700894426481E-2</v>
      </c>
      <c r="F45" s="25">
        <v>3.5127107421762359E-2</v>
      </c>
      <c r="G45" s="8">
        <f t="shared" si="85"/>
        <v>-7.7399015225024514E-3</v>
      </c>
      <c r="H45" s="33">
        <f t="shared" si="86"/>
        <v>-0.18055613659832861</v>
      </c>
      <c r="J45" s="23">
        <f>+_xlfn.XLOOKUP($B45,Revenue_FY25B!$B:$B,Revenue_FY25B!G:G,0)/1000</f>
        <v>4.1856311127200473E-2</v>
      </c>
      <c r="K45" s="25">
        <v>3.9430653466942016E-2</v>
      </c>
      <c r="L45" s="8">
        <f t="shared" si="87"/>
        <v>-2.4256576602584567E-3</v>
      </c>
      <c r="M45" s="33">
        <f t="shared" si="88"/>
        <v>-5.7952017149503043E-2</v>
      </c>
      <c r="O45" s="23">
        <f>+_xlfn.XLOOKUP($B45,Revenue_FY25B!$B:$B,Revenue_FY25B!H:H,0)/1000</f>
        <v>4.2050392027918437E-2</v>
      </c>
      <c r="P45" s="25">
        <v>3.4319490000000001E-2</v>
      </c>
      <c r="Q45" s="8">
        <f t="shared" si="89"/>
        <v>-7.7309020279184362E-3</v>
      </c>
      <c r="R45" s="33">
        <f t="shared" si="90"/>
        <v>-0.18384851258427443</v>
      </c>
      <c r="T45" s="23">
        <f>+_xlfn.XLOOKUP($B45,Revenue_FY25B!$B:$B,Revenue_FY25B!I:I,0)/1000</f>
        <v>4.3708998957410143E-2</v>
      </c>
      <c r="U45" s="25">
        <v>4.2021650000000001E-2</v>
      </c>
      <c r="V45" s="8">
        <f t="shared" si="91"/>
        <v>-1.6873489574101425E-3</v>
      </c>
      <c r="W45" s="33">
        <f t="shared" si="92"/>
        <v>-3.8604154697166319E-2</v>
      </c>
      <c r="Y45" s="23">
        <f>+_xlfn.XLOOKUP($B45,Revenue_FY25B!$B:$B,Revenue_FY25B!J:J,0)/1000</f>
        <v>4.1960271331949704E-2</v>
      </c>
      <c r="Z45" s="25">
        <v>4.6941030000000002E-2</v>
      </c>
      <c r="AA45" s="8">
        <f t="shared" si="93"/>
        <v>4.9807586680502974E-3</v>
      </c>
      <c r="AB45" s="33">
        <f t="shared" si="94"/>
        <v>0.11870177455830251</v>
      </c>
      <c r="AD45" s="23">
        <f>+_xlfn.XLOOKUP($B45,Revenue_FY25B!$B:$B,Revenue_FY25B!K:K,0)/1000</f>
        <v>4.0615391938266757E-2</v>
      </c>
      <c r="AE45" s="25">
        <v>3.8878240000000001E-2</v>
      </c>
      <c r="AF45" s="8">
        <f t="shared" si="95"/>
        <v>-1.7371519382667552E-3</v>
      </c>
      <c r="AG45" s="33">
        <f t="shared" si="96"/>
        <v>-4.2770778647344687E-2</v>
      </c>
      <c r="AI45" s="23">
        <f>+_xlfn.XLOOKUP($B45,Revenue_FY25B!$B:$B,Revenue_FY25B!L:L,0)/1000</f>
        <v>3.988401971836332E-2</v>
      </c>
      <c r="AJ45" s="25">
        <v>4.3827852178743423E-2</v>
      </c>
      <c r="AK45" s="8">
        <f t="shared" si="97"/>
        <v>3.9438324603801034E-3</v>
      </c>
      <c r="AL45" s="33">
        <f t="shared" si="98"/>
        <v>9.888252207849281E-2</v>
      </c>
      <c r="AN45" s="23">
        <f>+_xlfn.XLOOKUP($B45,Revenue_FY25B!$B:$B,Revenue_FY25B!M:M,0)/1000</f>
        <v>3.2766830018049538E-2</v>
      </c>
      <c r="AO45" s="25">
        <v>4.1586424847910038E-2</v>
      </c>
      <c r="AP45" s="8">
        <f t="shared" si="99"/>
        <v>8.8195948298604998E-3</v>
      </c>
      <c r="AQ45" s="33">
        <f t="shared" si="100"/>
        <v>0.26916228469468195</v>
      </c>
      <c r="AS45" s="23">
        <f>+_xlfn.XLOOKUP($B45,Revenue_FY25B!$B:$B,Revenue_FY25B!N:N,0)/1000</f>
        <v>3.4890520982142466E-2</v>
      </c>
      <c r="AT45" s="25">
        <v>4.4641777779856825E-2</v>
      </c>
      <c r="AU45" s="8">
        <f t="shared" si="101"/>
        <v>9.7512567977143597E-3</v>
      </c>
      <c r="AV45" s="33">
        <f t="shared" si="102"/>
        <v>0.27948154751559057</v>
      </c>
      <c r="AX45" s="23">
        <f>+_xlfn.XLOOKUP($B45,Revenue_FY25B!$B:$B,Revenue_FY25B!O:O,0)/1000</f>
        <v>3.3551943242527971E-2</v>
      </c>
      <c r="AY45" s="25">
        <v>3.2988379999999998E-2</v>
      </c>
      <c r="AZ45" s="8">
        <f t="shared" si="103"/>
        <v>-5.6356324252797296E-4</v>
      </c>
      <c r="BA45" s="33">
        <f t="shared" si="104"/>
        <v>-1.6796739266464952E-2</v>
      </c>
      <c r="BC45" s="23">
        <f>+_xlfn.XLOOKUP($B45,Revenue_FY25B!$B:$B,Revenue_FY25B!P:P,0)/1000</f>
        <v>4.4587764246019387E-2</v>
      </c>
      <c r="BD45" s="25">
        <v>3.5873580000000002E-2</v>
      </c>
      <c r="BE45" s="8">
        <f t="shared" si="105"/>
        <v>-8.7141842460193852E-3</v>
      </c>
      <c r="BF45" s="33">
        <f t="shared" si="106"/>
        <v>-0.19543891454026766</v>
      </c>
      <c r="BH45" s="23">
        <f>+_xlfn.XLOOKUP($B45,Revenue_FY25B!$B:$B,Revenue_FY25B!Q:Q,0)/1000</f>
        <v>4.2879132027286937E-2</v>
      </c>
      <c r="BI45" s="25">
        <v>3.4849339999999999E-2</v>
      </c>
      <c r="BJ45" s="8">
        <f t="shared" si="107"/>
        <v>-8.0297920272869375E-3</v>
      </c>
      <c r="BK45" s="33">
        <f t="shared" si="108"/>
        <v>-0.18726573154925405</v>
      </c>
      <c r="BM45" s="38">
        <f>Revenue_FY25B!D38/1000</f>
        <v>0.48199999999999998</v>
      </c>
      <c r="BN45" s="38">
        <f t="shared" si="109"/>
        <v>0.47048552569521468</v>
      </c>
      <c r="BO45" s="8">
        <f t="shared" si="110"/>
        <v>-1.1514474304785305E-2</v>
      </c>
      <c r="BP45" s="33">
        <f t="shared" si="111"/>
        <v>-2.3888950839803538E-2</v>
      </c>
    </row>
    <row r="46" spans="2:68" s="5" customFormat="1" x14ac:dyDescent="0.25">
      <c r="C46" s="10" t="s">
        <v>67</v>
      </c>
      <c r="E46" s="24">
        <f>SUM(E40:E45)</f>
        <v>18.590381750931396</v>
      </c>
      <c r="F46" s="24">
        <f>SUM(F40:F45)</f>
        <v>14.372544646069104</v>
      </c>
      <c r="G46" s="24">
        <f t="shared" si="85"/>
        <v>-4.2178371048622925</v>
      </c>
      <c r="H46" s="34">
        <f t="shared" si="86"/>
        <v>-0.22688275912628716</v>
      </c>
      <c r="J46" s="24">
        <f>SUM(J40:J45)</f>
        <v>18.321264221042771</v>
      </c>
      <c r="K46" s="24">
        <f>SUM(K40:K45)</f>
        <v>16.475466728652226</v>
      </c>
      <c r="L46" s="24">
        <f t="shared" si="87"/>
        <v>-1.8457974923905454</v>
      </c>
      <c r="M46" s="34">
        <f t="shared" si="88"/>
        <v>-0.10074618596846426</v>
      </c>
      <c r="O46" s="24">
        <f>SUM(O40:O45)</f>
        <v>18.026585304745787</v>
      </c>
      <c r="P46" s="24">
        <f>SUM(P40:P45)</f>
        <v>13.811920984</v>
      </c>
      <c r="Q46" s="24">
        <f t="shared" si="89"/>
        <v>-4.2146643207457863</v>
      </c>
      <c r="R46" s="34">
        <f t="shared" si="90"/>
        <v>-0.23380270026160799</v>
      </c>
      <c r="T46" s="24">
        <f>SUM(T40:T45)</f>
        <v>18.395190852716539</v>
      </c>
      <c r="U46" s="24">
        <f>SUM(U40:U45)</f>
        <v>18.889110411000001</v>
      </c>
      <c r="V46" s="24">
        <f t="shared" si="91"/>
        <v>0.49391955828346212</v>
      </c>
      <c r="W46" s="34">
        <f t="shared" si="92"/>
        <v>2.6850472073820412E-2</v>
      </c>
      <c r="Y46" s="24">
        <f>SUM(Y40:Y45)</f>
        <v>16.810192762491454</v>
      </c>
      <c r="Z46" s="24">
        <f>SUM(Z40:Z45)</f>
        <v>16.676949076</v>
      </c>
      <c r="AA46" s="24">
        <f t="shared" si="93"/>
        <v>-0.13324368649145413</v>
      </c>
      <c r="AB46" s="34">
        <f t="shared" si="94"/>
        <v>-7.9263627951227586E-3</v>
      </c>
      <c r="AD46" s="24">
        <f>SUM(AD40:AD45)</f>
        <v>16.39835146212106</v>
      </c>
      <c r="AE46" s="24">
        <f>SUM(AE40:AE45)</f>
        <v>18.223275126999997</v>
      </c>
      <c r="AF46" s="24">
        <f t="shared" si="95"/>
        <v>1.8249236648789378</v>
      </c>
      <c r="AG46" s="34">
        <f t="shared" si="96"/>
        <v>0.11128701986259852</v>
      </c>
      <c r="AI46" s="24">
        <f>SUM(AI40:AI45)</f>
        <v>15.223589377529654</v>
      </c>
      <c r="AJ46" s="24">
        <f>SUM(AJ40:AJ45)</f>
        <v>17.011564518793424</v>
      </c>
      <c r="AK46" s="24">
        <f t="shared" si="97"/>
        <v>1.7879751412637699</v>
      </c>
      <c r="AL46" s="34">
        <f t="shared" si="98"/>
        <v>0.11744767261673911</v>
      </c>
      <c r="AN46" s="24">
        <f>SUM(AN40:AN45)</f>
        <v>13.901758082150179</v>
      </c>
      <c r="AO46" s="24">
        <f>SUM(AO40:AO45)</f>
        <v>16.643882124535882</v>
      </c>
      <c r="AP46" s="24">
        <f t="shared" si="99"/>
        <v>2.7421240423857025</v>
      </c>
      <c r="AQ46" s="34">
        <f t="shared" si="100"/>
        <v>0.19725016261839448</v>
      </c>
      <c r="AS46" s="24">
        <f>SUM(AS40:AS45)</f>
        <v>16.497735361357314</v>
      </c>
      <c r="AT46" s="24">
        <f>SUM(AT40:AT45)</f>
        <v>17.903864711148188</v>
      </c>
      <c r="AU46" s="24">
        <f t="shared" si="101"/>
        <v>1.4061293497908736</v>
      </c>
      <c r="AV46" s="34">
        <f t="shared" si="102"/>
        <v>8.5231658709016139E-2</v>
      </c>
      <c r="AX46" s="24">
        <f>SUM(AX40:AX45)</f>
        <v>16.077569510984102</v>
      </c>
      <c r="AY46" s="24">
        <f>SUM(AY40:AY45)</f>
        <v>13.328035979000001</v>
      </c>
      <c r="AZ46" s="24">
        <f t="shared" si="103"/>
        <v>-2.7495335319841008</v>
      </c>
      <c r="BA46" s="34">
        <f t="shared" si="104"/>
        <v>-0.17101674044112422</v>
      </c>
      <c r="BC46" s="24">
        <f>SUM(BC40:BC45)</f>
        <v>17.648261270699095</v>
      </c>
      <c r="BD46" s="24">
        <f>SUM(BD40:BD45)</f>
        <v>14.171780042</v>
      </c>
      <c r="BE46" s="24">
        <f t="shared" si="105"/>
        <v>-3.4764812286990949</v>
      </c>
      <c r="BF46" s="34">
        <f t="shared" si="106"/>
        <v>-0.19698718051454722</v>
      </c>
      <c r="BH46" s="24">
        <f>SUM(BH40:BH45)</f>
        <v>17.598288504109572</v>
      </c>
      <c r="BI46" s="24">
        <f>SUM(BI40:BI45)</f>
        <v>14.768818518999998</v>
      </c>
      <c r="BJ46" s="24">
        <f t="shared" si="107"/>
        <v>-2.8294699851095739</v>
      </c>
      <c r="BK46" s="34">
        <f t="shared" si="108"/>
        <v>-0.16078097506179836</v>
      </c>
      <c r="BM46" s="24">
        <f>SUM(BM40:BM45)</f>
        <v>203.489</v>
      </c>
      <c r="BN46" s="24">
        <f>SUM(BN40:BN45)</f>
        <v>192.27721286719881</v>
      </c>
      <c r="BO46" s="24">
        <f t="shared" si="110"/>
        <v>-11.211787132801192</v>
      </c>
      <c r="BP46" s="34">
        <f t="shared" si="111"/>
        <v>-5.5097755322406572E-2</v>
      </c>
    </row>
    <row r="47" spans="2:68" s="5" customFormat="1" x14ac:dyDescent="0.25">
      <c r="C47" s="10"/>
      <c r="E47" s="237"/>
      <c r="F47" s="237"/>
      <c r="G47" s="237"/>
      <c r="H47" s="101"/>
      <c r="J47" s="237"/>
      <c r="K47" s="237"/>
      <c r="L47" s="237"/>
      <c r="M47" s="101"/>
      <c r="O47" s="237"/>
      <c r="P47" s="237"/>
      <c r="Q47" s="237"/>
      <c r="R47" s="101"/>
      <c r="T47" s="237"/>
      <c r="U47" s="237"/>
      <c r="V47" s="237"/>
      <c r="W47" s="101"/>
      <c r="Y47" s="237"/>
      <c r="Z47" s="237"/>
      <c r="AA47" s="237"/>
      <c r="AB47" s="101"/>
      <c r="AD47" s="237"/>
      <c r="AE47" s="237"/>
      <c r="AF47" s="237"/>
      <c r="AG47" s="101"/>
      <c r="AI47" s="237"/>
      <c r="AJ47" s="237"/>
      <c r="AK47" s="237"/>
      <c r="AL47" s="101"/>
      <c r="AN47" s="237"/>
      <c r="AO47" s="237"/>
      <c r="AP47" s="237"/>
      <c r="AQ47" s="101"/>
      <c r="AS47" s="237"/>
      <c r="AT47" s="237"/>
      <c r="AU47" s="237"/>
      <c r="AV47" s="101"/>
      <c r="AX47" s="237"/>
      <c r="AY47" s="237"/>
      <c r="AZ47" s="237"/>
      <c r="BA47" s="101"/>
      <c r="BC47" s="237"/>
      <c r="BD47" s="237"/>
      <c r="BE47" s="237"/>
      <c r="BF47" s="101"/>
      <c r="BH47" s="237"/>
      <c r="BI47" s="237"/>
      <c r="BJ47" s="237"/>
      <c r="BK47" s="101"/>
      <c r="BM47" s="237"/>
      <c r="BN47" s="237"/>
      <c r="BO47" s="237"/>
      <c r="BP47" s="101"/>
    </row>
    <row r="48" spans="2:68" x14ac:dyDescent="0.25">
      <c r="C48" s="6" t="s">
        <v>68</v>
      </c>
      <c r="D48" s="6"/>
      <c r="E48" s="14"/>
      <c r="F48" s="13"/>
      <c r="G48" s="14"/>
      <c r="H48" s="11"/>
      <c r="I48" s="6"/>
      <c r="J48" s="14"/>
      <c r="K48" s="13"/>
      <c r="L48" s="14"/>
      <c r="M48" s="39"/>
      <c r="N48" s="6"/>
      <c r="O48" s="14"/>
      <c r="P48" s="13"/>
      <c r="Q48" s="14"/>
      <c r="R48" s="39"/>
      <c r="S48" s="6"/>
      <c r="T48" s="14"/>
      <c r="U48" s="13"/>
      <c r="V48" s="14"/>
      <c r="W48" s="39"/>
      <c r="X48" s="6"/>
      <c r="Y48" s="14"/>
      <c r="Z48" s="13"/>
      <c r="AA48" s="14"/>
      <c r="AB48" s="39"/>
      <c r="AC48" s="6"/>
      <c r="AD48" s="14"/>
      <c r="AE48" s="13"/>
      <c r="AF48" s="14"/>
      <c r="AG48" s="39"/>
      <c r="AH48" s="6"/>
      <c r="AI48" s="14"/>
      <c r="AJ48" s="13"/>
      <c r="AK48" s="14"/>
      <c r="AL48" s="39"/>
      <c r="AM48" s="6"/>
      <c r="AN48" s="14"/>
      <c r="AO48" s="13"/>
      <c r="AP48" s="14"/>
      <c r="AQ48" s="39"/>
      <c r="AR48" s="6"/>
      <c r="AS48" s="14"/>
      <c r="AT48" s="13"/>
      <c r="AU48" s="14"/>
      <c r="AV48" s="39"/>
      <c r="AW48" s="6"/>
      <c r="AX48" s="14"/>
      <c r="AY48" s="13"/>
      <c r="AZ48" s="14"/>
      <c r="BA48" s="39"/>
      <c r="BB48" s="6"/>
      <c r="BC48" s="14"/>
      <c r="BD48" s="13"/>
      <c r="BE48" s="14"/>
      <c r="BF48" s="39"/>
      <c r="BG48" s="6"/>
      <c r="BH48" s="14"/>
      <c r="BI48" s="13"/>
      <c r="BJ48" s="14"/>
      <c r="BK48" s="39"/>
      <c r="BL48" s="6"/>
      <c r="BM48" s="14"/>
      <c r="BN48" s="13"/>
      <c r="BO48" s="14"/>
      <c r="BP48" s="39"/>
    </row>
    <row r="49" spans="2:68" x14ac:dyDescent="0.25">
      <c r="B49">
        <f>+MAX($B$1:B48)+1</f>
        <v>25</v>
      </c>
      <c r="C49" s="7" t="s">
        <v>56</v>
      </c>
      <c r="E49" s="23">
        <f>+_xlfn.XLOOKUP($B49,Revenue_FY25B!$B:$B,Revenue_FY25B!F:F,0)/1000</f>
        <v>0.52250550951222474</v>
      </c>
      <c r="F49" s="25">
        <v>-0.66330217247922418</v>
      </c>
      <c r="G49" s="8">
        <f t="shared" ref="G49:G55" si="112">F49-E49</f>
        <v>-1.1858076819914489</v>
      </c>
      <c r="H49" s="33">
        <f t="shared" ref="H49:H55" si="113">IFERROR(G49/E49,"n.a.")</f>
        <v>-2.2694644561708786</v>
      </c>
      <c r="J49" s="23">
        <f>+_xlfn.XLOOKUP($B49,Revenue_FY25B!$B:$B,Revenue_FY25B!G:G,0)/1000</f>
        <v>0.50857517741212099</v>
      </c>
      <c r="K49" s="25">
        <v>1.2031630608242829</v>
      </c>
      <c r="L49" s="8">
        <f t="shared" ref="L49:L58" si="114">K49-J49</f>
        <v>0.69458788341216193</v>
      </c>
      <c r="M49" s="33">
        <f t="shared" ref="M49:M58" si="115">IFERROR(L49/J49,"n.a.")</f>
        <v>1.3657526247084344</v>
      </c>
      <c r="O49" s="23">
        <f>+_xlfn.XLOOKUP($B49,Revenue_FY25B!$B:$B,Revenue_FY25B!H:H,0)/1000</f>
        <v>0.49200015100732669</v>
      </c>
      <c r="P49" s="25">
        <v>0.45141259900000003</v>
      </c>
      <c r="Q49" s="8">
        <f t="shared" ref="Q49:Q58" si="116">P49-O49</f>
        <v>-4.0587552007326666E-2</v>
      </c>
      <c r="R49" s="33">
        <f t="shared" ref="R49:R58" si="117">IFERROR(Q49/O49,"n.a.")</f>
        <v>-8.2494999085319889E-2</v>
      </c>
      <c r="T49" s="23">
        <f>+_xlfn.XLOOKUP($B49,Revenue_FY25B!$B:$B,Revenue_FY25B!I:I,0)/1000</f>
        <v>0.50146238670569887</v>
      </c>
      <c r="U49" s="25">
        <v>0.77355544300000001</v>
      </c>
      <c r="V49" s="8">
        <f t="shared" ref="V49:V58" si="118">U49-T49</f>
        <v>0.27209305629430114</v>
      </c>
      <c r="W49" s="33">
        <f t="shared" ref="W49:W58" si="119">IFERROR(V49/T49,"n.a.")</f>
        <v>0.54259913307114827</v>
      </c>
      <c r="Y49" s="23">
        <f>+_xlfn.XLOOKUP($B49,Revenue_FY25B!$B:$B,Revenue_FY25B!J:J,0)/1000</f>
        <v>0.43964125849534441</v>
      </c>
      <c r="Z49" s="25">
        <v>0.63165380100000001</v>
      </c>
      <c r="AA49" s="8">
        <f t="shared" ref="AA49:AA58" si="120">Z49-Y49</f>
        <v>0.1920125425046556</v>
      </c>
      <c r="AB49" s="33">
        <f t="shared" ref="AB49:AB58" si="121">IFERROR(AA49/Y49,"n.a.")</f>
        <v>0.43674823232426202</v>
      </c>
      <c r="AD49" s="23">
        <f>+_xlfn.XLOOKUP($B49,Revenue_FY25B!$B:$B,Revenue_FY25B!K:K,0)/1000</f>
        <v>0.42833751414550164</v>
      </c>
      <c r="AE49" s="25">
        <v>0.46928405000000001</v>
      </c>
      <c r="AF49" s="8">
        <f t="shared" ref="AF49:AF58" si="122">AE49-AD49</f>
        <v>4.0946535854498367E-2</v>
      </c>
      <c r="AG49" s="33">
        <f t="shared" ref="AG49:AG58" si="123">IFERROR(AF49/AD49,"n.a.")</f>
        <v>9.5594092280671145E-2</v>
      </c>
      <c r="AI49" s="23">
        <f>+_xlfn.XLOOKUP($B49,Revenue_FY25B!$B:$B,Revenue_FY25B!L:L,0)/1000</f>
        <v>0.40554204967347929</v>
      </c>
      <c r="AJ49" s="25">
        <v>2.6692532998194046E-2</v>
      </c>
      <c r="AK49" s="8">
        <f t="shared" ref="AK49:AK55" si="124">AJ49-AI49</f>
        <v>-0.37884951667528521</v>
      </c>
      <c r="AL49" s="33">
        <f t="shared" ref="AL49:AL55" si="125">IFERROR(AK49/AI49,"n.a.")</f>
        <v>-0.93418060341785647</v>
      </c>
      <c r="AN49" s="23">
        <f>+_xlfn.XLOOKUP($B49,Revenue_FY25B!$B:$B,Revenue_FY25B!M:M,0)/1000</f>
        <v>0.34568664979944275</v>
      </c>
      <c r="AO49" s="25">
        <v>0.15216522777957789</v>
      </c>
      <c r="AP49" s="8">
        <f t="shared" ref="AP49:AP58" si="126">AO49-AN49</f>
        <v>-0.19352142201986486</v>
      </c>
      <c r="AQ49" s="33">
        <f t="shared" ref="AQ49:AQ58" si="127">IFERROR(AP49/AN49,"n.a.")</f>
        <v>-0.55981745934400506</v>
      </c>
      <c r="AS49" s="23">
        <f>+_xlfn.XLOOKUP($B49,Revenue_FY25B!$B:$B,Revenue_FY25B!N:N,0)/1000</f>
        <v>0.39897943758025417</v>
      </c>
      <c r="AT49" s="25">
        <v>0.55463146673016439</v>
      </c>
      <c r="AU49" s="8">
        <f t="shared" ref="AU49:AU58" si="128">AT49-AS49</f>
        <v>0.15565202914991022</v>
      </c>
      <c r="AV49" s="33">
        <f t="shared" ref="AV49:AV58" si="129">IFERROR(AU49/AS49,"n.a.")</f>
        <v>0.39012544128568288</v>
      </c>
      <c r="AX49" s="23">
        <f>+_xlfn.XLOOKUP($B49,Revenue_FY25B!$B:$B,Revenue_FY25B!O:O,0)/1000</f>
        <v>0.40979869454495088</v>
      </c>
      <c r="AY49" s="25">
        <v>0.55225210700000005</v>
      </c>
      <c r="AZ49" s="8">
        <f t="shared" ref="AZ49:AZ58" si="130">AY49-AX49</f>
        <v>0.14245341245504917</v>
      </c>
      <c r="BA49" s="33">
        <f t="shared" ref="BA49:BA58" si="131">IFERROR(AZ49/AX49,"n.a.")</f>
        <v>0.34761802404771552</v>
      </c>
      <c r="BC49" s="23">
        <f>+_xlfn.XLOOKUP($B49,Revenue_FY25B!$B:$B,Revenue_FY25B!P:P,0)/1000</f>
        <v>0.47903812112038729</v>
      </c>
      <c r="BD49" s="25">
        <v>1.35804988</v>
      </c>
      <c r="BE49" s="8">
        <f t="shared" ref="BE49:BE58" si="132">BD49-BC49</f>
        <v>0.87901175887961269</v>
      </c>
      <c r="BF49" s="33">
        <f t="shared" ref="BF49:BF58" si="133">IFERROR(BE49/BC49,"n.a.")</f>
        <v>1.8349515834434142</v>
      </c>
      <c r="BH49" s="23">
        <f>+_xlfn.XLOOKUP($B49,Revenue_FY25B!$B:$B,Revenue_FY25B!Q:Q,0)/1000</f>
        <v>0.48134392910516466</v>
      </c>
      <c r="BI49" s="25">
        <v>0.77192243800000004</v>
      </c>
      <c r="BJ49" s="8">
        <f t="shared" ref="BJ49:BJ58" si="134">BI49-BH49</f>
        <v>0.29057850889483539</v>
      </c>
      <c r="BK49" s="33">
        <f t="shared" ref="BK49:BK58" si="135">IFERROR(BJ49/BH49,"n.a.")</f>
        <v>0.60368167400600869</v>
      </c>
      <c r="BM49" s="38">
        <f>Revenue_FY25B!D42/1000</f>
        <v>5.4130000000000003</v>
      </c>
      <c r="BN49" s="38">
        <f t="shared" ref="BN49:BN54" si="136">+F49+K49+P49+U49+Z49+AE49+AJ49+AO49+AT49+AY49+BD49+BI49</f>
        <v>6.2814804338529955</v>
      </c>
      <c r="BO49" s="8">
        <f t="shared" ref="BO49:BO58" si="137">BN49-BM49</f>
        <v>0.86848043385299523</v>
      </c>
      <c r="BP49" s="33">
        <f t="shared" ref="BP49:BP58" si="138">IFERROR(BO49/BM49,"n.a.")</f>
        <v>0.16044345720543049</v>
      </c>
    </row>
    <row r="50" spans="2:68" x14ac:dyDescent="0.25">
      <c r="B50">
        <f>+MAX($B$1:B49)+1</f>
        <v>26</v>
      </c>
      <c r="C50" s="7" t="s">
        <v>57</v>
      </c>
      <c r="E50" s="23">
        <f>+_xlfn.XLOOKUP($B50,Revenue_FY25B!$B:$B,Revenue_FY25B!F:F,0)/1000</f>
        <v>0.58081873258911343</v>
      </c>
      <c r="F50" s="25">
        <v>-0.71302227782562222</v>
      </c>
      <c r="G50" s="8">
        <f t="shared" si="112"/>
        <v>-1.2938410104147358</v>
      </c>
      <c r="H50" s="33">
        <f t="shared" si="113"/>
        <v>-2.2276158426350778</v>
      </c>
      <c r="J50" s="23">
        <f>+_xlfn.XLOOKUP($B50,Revenue_FY25B!$B:$B,Revenue_FY25B!G:G,0)/1000</f>
        <v>0.57419614422536314</v>
      </c>
      <c r="K50" s="25">
        <v>1.1635313039529127</v>
      </c>
      <c r="L50" s="8">
        <f t="shared" si="114"/>
        <v>0.58933515972754957</v>
      </c>
      <c r="M50" s="33">
        <f t="shared" si="115"/>
        <v>1.026365581960865</v>
      </c>
      <c r="O50" s="23">
        <f>+_xlfn.XLOOKUP($B50,Revenue_FY25B!$B:$B,Revenue_FY25B!H:H,0)/1000</f>
        <v>0.57874913104193937</v>
      </c>
      <c r="P50" s="25">
        <v>0.72859826299999997</v>
      </c>
      <c r="Q50" s="8">
        <f t="shared" si="116"/>
        <v>0.1498491319580606</v>
      </c>
      <c r="R50" s="33">
        <f t="shared" si="117"/>
        <v>0.2589189752877602</v>
      </c>
      <c r="T50" s="23">
        <f>+_xlfn.XLOOKUP($B50,Revenue_FY25B!$B:$B,Revenue_FY25B!I:I,0)/1000</f>
        <v>0.59112294164055978</v>
      </c>
      <c r="U50" s="25">
        <v>0.82852550400000002</v>
      </c>
      <c r="V50" s="8">
        <f t="shared" si="118"/>
        <v>0.23740256235944024</v>
      </c>
      <c r="W50" s="33">
        <f t="shared" si="119"/>
        <v>0.40161283827112237</v>
      </c>
      <c r="Y50" s="23">
        <f>+_xlfn.XLOOKUP($B50,Revenue_FY25B!$B:$B,Revenue_FY25B!J:J,0)/1000</f>
        <v>0.55239534583128158</v>
      </c>
      <c r="Z50" s="25">
        <v>0.70398573099999995</v>
      </c>
      <c r="AA50" s="8">
        <f t="shared" si="120"/>
        <v>0.15159038516871837</v>
      </c>
      <c r="AB50" s="33">
        <f t="shared" si="121"/>
        <v>0.27442371901340873</v>
      </c>
      <c r="AD50" s="23">
        <f>+_xlfn.XLOOKUP($B50,Revenue_FY25B!$B:$B,Revenue_FY25B!K:K,0)/1000</f>
        <v>0.53472608514146758</v>
      </c>
      <c r="AE50" s="25">
        <v>0.54179986400000002</v>
      </c>
      <c r="AF50" s="8">
        <f t="shared" si="122"/>
        <v>7.0737788585324424E-3</v>
      </c>
      <c r="AG50" s="33">
        <f t="shared" si="123"/>
        <v>1.3228789571133411E-2</v>
      </c>
      <c r="AI50" s="23">
        <f>+_xlfn.XLOOKUP($B50,Revenue_FY25B!$B:$B,Revenue_FY25B!L:L,0)/1000</f>
        <v>0.49628404390216185</v>
      </c>
      <c r="AJ50" s="25">
        <v>-1.2545850201534864E-2</v>
      </c>
      <c r="AK50" s="8">
        <f t="shared" si="124"/>
        <v>-0.50882989410369672</v>
      </c>
      <c r="AL50" s="33">
        <f t="shared" si="125"/>
        <v>-1.0252795759921876</v>
      </c>
      <c r="AN50" s="23">
        <f>+_xlfn.XLOOKUP($B50,Revenue_FY25B!$B:$B,Revenue_FY25B!M:M,0)/1000</f>
        <v>0.4626933287911591</v>
      </c>
      <c r="AO50" s="25">
        <v>0.16926319745921828</v>
      </c>
      <c r="AP50" s="8">
        <f t="shared" si="126"/>
        <v>-0.29343013133194085</v>
      </c>
      <c r="AQ50" s="33">
        <f t="shared" si="127"/>
        <v>-0.63417843541976648</v>
      </c>
      <c r="AS50" s="23">
        <f>+_xlfn.XLOOKUP($B50,Revenue_FY25B!$B:$B,Revenue_FY25B!N:N,0)/1000</f>
        <v>0.56490133897482364</v>
      </c>
      <c r="AT50" s="25">
        <v>0.72240224562618505</v>
      </c>
      <c r="AU50" s="8">
        <f t="shared" si="128"/>
        <v>0.15750090665136141</v>
      </c>
      <c r="AV50" s="33">
        <f t="shared" si="129"/>
        <v>0.27881135303589866</v>
      </c>
      <c r="AX50" s="23">
        <f>+_xlfn.XLOOKUP($B50,Revenue_FY25B!$B:$B,Revenue_FY25B!O:O,0)/1000</f>
        <v>0.54110833076683496</v>
      </c>
      <c r="AY50" s="25">
        <v>0.72410727799999997</v>
      </c>
      <c r="AZ50" s="8">
        <f t="shared" si="130"/>
        <v>0.18299894723316501</v>
      </c>
      <c r="BA50" s="33">
        <f t="shared" si="131"/>
        <v>0.33819281062227768</v>
      </c>
      <c r="BC50" s="23">
        <f>+_xlfn.XLOOKUP($B50,Revenue_FY25B!$B:$B,Revenue_FY25B!P:P,0)/1000</f>
        <v>0.56205821669498068</v>
      </c>
      <c r="BD50" s="25">
        <v>1.787972546</v>
      </c>
      <c r="BE50" s="8">
        <f t="shared" si="132"/>
        <v>1.2259143293050192</v>
      </c>
      <c r="BF50" s="33">
        <f t="shared" si="133"/>
        <v>2.1811162845615009</v>
      </c>
      <c r="BH50" s="23">
        <f>+_xlfn.XLOOKUP($B50,Revenue_FY25B!$B:$B,Revenue_FY25B!Q:Q,0)/1000</f>
        <v>0.55522052357179452</v>
      </c>
      <c r="BI50" s="25">
        <v>0.93051425399999999</v>
      </c>
      <c r="BJ50" s="8">
        <f t="shared" si="134"/>
        <v>0.37529373042820546</v>
      </c>
      <c r="BK50" s="33">
        <f t="shared" si="135"/>
        <v>0.67593634329995533</v>
      </c>
      <c r="BM50" s="38">
        <f>Revenue_FY25B!D43/1000</f>
        <v>6.5940000000000003</v>
      </c>
      <c r="BN50" s="38">
        <f t="shared" si="136"/>
        <v>7.5751320590111595</v>
      </c>
      <c r="BO50" s="8">
        <f t="shared" si="137"/>
        <v>0.98113205901115919</v>
      </c>
      <c r="BP50" s="33">
        <f t="shared" si="138"/>
        <v>0.14879163770263257</v>
      </c>
    </row>
    <row r="51" spans="2:68" x14ac:dyDescent="0.25">
      <c r="B51">
        <f>+MAX($B$1:B50)+1</f>
        <v>27</v>
      </c>
      <c r="C51" s="7" t="s">
        <v>58</v>
      </c>
      <c r="E51" s="23">
        <f>+_xlfn.XLOOKUP($B51,Revenue_FY25B!$B:$B,Revenue_FY25B!F:F,0)/1000</f>
        <v>0.12864848431970366</v>
      </c>
      <c r="F51" s="25">
        <v>-0.1334779825865916</v>
      </c>
      <c r="G51" s="8">
        <f t="shared" si="112"/>
        <v>-0.26212646690629526</v>
      </c>
      <c r="H51" s="33">
        <f t="shared" si="113"/>
        <v>-2.0375402655727073</v>
      </c>
      <c r="J51" s="23">
        <f>+_xlfn.XLOOKUP($B51,Revenue_FY25B!$B:$B,Revenue_FY25B!G:G,0)/1000</f>
        <v>0.13212076978098236</v>
      </c>
      <c r="K51" s="25">
        <v>0.23069015029898998</v>
      </c>
      <c r="L51" s="8">
        <f t="shared" si="114"/>
        <v>9.8569380518007621E-2</v>
      </c>
      <c r="M51" s="33">
        <f t="shared" si="115"/>
        <v>0.74605514849335841</v>
      </c>
      <c r="O51" s="23">
        <f>+_xlfn.XLOOKUP($B51,Revenue_FY25B!$B:$B,Revenue_FY25B!H:H,0)/1000</f>
        <v>0.12490994268079202</v>
      </c>
      <c r="P51" s="25">
        <v>9.9884243999999997E-2</v>
      </c>
      <c r="Q51" s="8">
        <f t="shared" si="116"/>
        <v>-2.5025698680792019E-2</v>
      </c>
      <c r="R51" s="33">
        <f t="shared" si="117"/>
        <v>-0.20034993326948614</v>
      </c>
      <c r="T51" s="23">
        <f>+_xlfn.XLOOKUP($B51,Revenue_FY25B!$B:$B,Revenue_FY25B!I:I,0)/1000</f>
        <v>0.12607400490296769</v>
      </c>
      <c r="U51" s="25">
        <v>0.169891616</v>
      </c>
      <c r="V51" s="8">
        <f t="shared" si="118"/>
        <v>4.3817611097032305E-2</v>
      </c>
      <c r="W51" s="33">
        <f t="shared" si="119"/>
        <v>0.34755468528786992</v>
      </c>
      <c r="Y51" s="23">
        <f>+_xlfn.XLOOKUP($B51,Revenue_FY25B!$B:$B,Revenue_FY25B!J:J,0)/1000</f>
        <v>0.12184137445913076</v>
      </c>
      <c r="Z51" s="25">
        <v>0.14062778000000001</v>
      </c>
      <c r="AA51" s="8">
        <f t="shared" si="120"/>
        <v>1.8786405540869244E-2</v>
      </c>
      <c r="AB51" s="33">
        <f t="shared" si="121"/>
        <v>0.15418740657075208</v>
      </c>
      <c r="AD51" s="23">
        <f>+_xlfn.XLOOKUP($B51,Revenue_FY25B!$B:$B,Revenue_FY25B!K:K,0)/1000</f>
        <v>0.12076598426888657</v>
      </c>
      <c r="AE51" s="25">
        <v>0.122774309</v>
      </c>
      <c r="AF51" s="8">
        <f t="shared" si="122"/>
        <v>2.0083247311134256E-3</v>
      </c>
      <c r="AG51" s="33">
        <f t="shared" si="123"/>
        <v>1.6629887490850669E-2</v>
      </c>
      <c r="AI51" s="23">
        <f>+_xlfn.XLOOKUP($B51,Revenue_FY25B!$B:$B,Revenue_FY25B!L:L,0)/1000</f>
        <v>0.10104348414493521</v>
      </c>
      <c r="AJ51" s="25">
        <v>4.2241181770201076E-3</v>
      </c>
      <c r="AK51" s="8">
        <f t="shared" si="124"/>
        <v>-9.68193659679151E-2</v>
      </c>
      <c r="AL51" s="33">
        <f t="shared" si="125"/>
        <v>-0.95819504629352348</v>
      </c>
      <c r="AN51" s="23">
        <f>+_xlfn.XLOOKUP($B51,Revenue_FY25B!$B:$B,Revenue_FY25B!M:M,0)/1000</f>
        <v>0.1083215165366721</v>
      </c>
      <c r="AO51" s="25">
        <v>3.962888217226973E-2</v>
      </c>
      <c r="AP51" s="8">
        <f t="shared" si="126"/>
        <v>-6.8692634364402372E-2</v>
      </c>
      <c r="AQ51" s="33">
        <f t="shared" si="127"/>
        <v>-0.63415502811158087</v>
      </c>
      <c r="AS51" s="23">
        <f>+_xlfn.XLOOKUP($B51,Revenue_FY25B!$B:$B,Revenue_FY25B!N:N,0)/1000</f>
        <v>0.12722070893594165</v>
      </c>
      <c r="AT51" s="25">
        <v>0.14801778748679295</v>
      </c>
      <c r="AU51" s="8">
        <f t="shared" si="128"/>
        <v>2.0797078550851306E-2</v>
      </c>
      <c r="AV51" s="33">
        <f t="shared" si="129"/>
        <v>0.16347243090213465</v>
      </c>
      <c r="AX51" s="23">
        <f>+_xlfn.XLOOKUP($B51,Revenue_FY25B!$B:$B,Revenue_FY25B!O:O,0)/1000</f>
        <v>0.11220987061068649</v>
      </c>
      <c r="AY51" s="25">
        <v>0.13119994900000001</v>
      </c>
      <c r="AZ51" s="8">
        <f t="shared" si="130"/>
        <v>1.8990078389313519E-2</v>
      </c>
      <c r="BA51" s="33">
        <f t="shared" si="131"/>
        <v>0.16923714719536417</v>
      </c>
      <c r="BC51" s="23">
        <f>+_xlfn.XLOOKUP($B51,Revenue_FY25B!$B:$B,Revenue_FY25B!P:P,0)/1000</f>
        <v>0.127628096099029</v>
      </c>
      <c r="BD51" s="25">
        <v>0.33405829999999997</v>
      </c>
      <c r="BE51" s="8">
        <f t="shared" si="132"/>
        <v>0.20643020390097097</v>
      </c>
      <c r="BF51" s="33">
        <f t="shared" si="133"/>
        <v>1.6174354253533481</v>
      </c>
      <c r="BH51" s="23">
        <f>+_xlfn.XLOOKUP($B51,Revenue_FY25B!$B:$B,Revenue_FY25B!Q:Q,0)/1000</f>
        <v>0.130470855879634</v>
      </c>
      <c r="BI51" s="25">
        <v>0.17141018999999999</v>
      </c>
      <c r="BJ51" s="8">
        <f t="shared" si="134"/>
        <v>4.0939334120365989E-2</v>
      </c>
      <c r="BK51" s="33">
        <f t="shared" si="135"/>
        <v>0.31378144831160304</v>
      </c>
      <c r="BM51" s="38">
        <f>Revenue_FY25B!D44/1000</f>
        <v>1.4610000000000001</v>
      </c>
      <c r="BN51" s="38">
        <f t="shared" si="136"/>
        <v>1.4589293435484809</v>
      </c>
      <c r="BO51" s="8">
        <f t="shared" si="137"/>
        <v>-2.0706564515191594E-3</v>
      </c>
      <c r="BP51" s="33">
        <f t="shared" si="138"/>
        <v>-1.4172870989179736E-3</v>
      </c>
    </row>
    <row r="52" spans="2:68" x14ac:dyDescent="0.25">
      <c r="B52">
        <f>+MAX($B$1:B51)+1</f>
        <v>28</v>
      </c>
      <c r="C52" s="7" t="s">
        <v>59</v>
      </c>
      <c r="E52" s="23">
        <f>+_xlfn.XLOOKUP($B52,Revenue_FY25B!$B:$B,Revenue_FY25B!F:F,0)/1000</f>
        <v>1.9100737885513874E-2</v>
      </c>
      <c r="F52" s="25">
        <v>-3.8093914721251287E-2</v>
      </c>
      <c r="G52" s="8">
        <f t="shared" si="112"/>
        <v>-5.7194652606765164E-2</v>
      </c>
      <c r="H52" s="33">
        <f t="shared" si="113"/>
        <v>-2.9943687489760262</v>
      </c>
      <c r="J52" s="23">
        <f>+_xlfn.XLOOKUP($B52,Revenue_FY25B!$B:$B,Revenue_FY25B!G:G,0)/1000</f>
        <v>1.8285198838158292E-2</v>
      </c>
      <c r="K52" s="25">
        <v>5.3969111132814419E-2</v>
      </c>
      <c r="L52" s="8">
        <f t="shared" si="114"/>
        <v>3.5683912294656131E-2</v>
      </c>
      <c r="M52" s="33">
        <f t="shared" si="115"/>
        <v>1.9515189640809101</v>
      </c>
      <c r="O52" s="23">
        <f>+_xlfn.XLOOKUP($B52,Revenue_FY25B!$B:$B,Revenue_FY25B!H:H,0)/1000</f>
        <v>1.7648803335252032E-2</v>
      </c>
      <c r="P52" s="25">
        <v>7.5238839999999998E-3</v>
      </c>
      <c r="Q52" s="8">
        <f t="shared" si="116"/>
        <v>-1.0124919335252032E-2</v>
      </c>
      <c r="R52" s="33">
        <f t="shared" si="117"/>
        <v>-0.5736887166184429</v>
      </c>
      <c r="T52" s="23">
        <f>+_xlfn.XLOOKUP($B52,Revenue_FY25B!$B:$B,Revenue_FY25B!I:I,0)/1000</f>
        <v>1.9259966888913842E-2</v>
      </c>
      <c r="U52" s="25">
        <v>3.4932120999999997E-2</v>
      </c>
      <c r="V52" s="8">
        <f t="shared" si="118"/>
        <v>1.5672154111086155E-2</v>
      </c>
      <c r="W52" s="33">
        <f t="shared" si="119"/>
        <v>0.81371656563475947</v>
      </c>
      <c r="Y52" s="23">
        <f>+_xlfn.XLOOKUP($B52,Revenue_FY25B!$B:$B,Revenue_FY25B!J:J,0)/1000</f>
        <v>1.7277353270951857E-2</v>
      </c>
      <c r="Z52" s="25">
        <v>2.8867707999999999E-2</v>
      </c>
      <c r="AA52" s="8">
        <f t="shared" si="120"/>
        <v>1.1590354729048142E-2</v>
      </c>
      <c r="AB52" s="33">
        <f t="shared" si="121"/>
        <v>0.67084087170543782</v>
      </c>
      <c r="AD52" s="23">
        <f>+_xlfn.XLOOKUP($B52,Revenue_FY25B!$B:$B,Revenue_FY25B!K:K,0)/1000</f>
        <v>1.9693095625529723E-2</v>
      </c>
      <c r="AE52" s="25">
        <v>3.4605498999999998E-2</v>
      </c>
      <c r="AF52" s="8">
        <f t="shared" si="122"/>
        <v>1.4912403374470275E-2</v>
      </c>
      <c r="AG52" s="33">
        <f t="shared" si="123"/>
        <v>0.75724018498839485</v>
      </c>
      <c r="AI52" s="23">
        <f>+_xlfn.XLOOKUP($B52,Revenue_FY25B!$B:$B,Revenue_FY25B!L:L,0)/1000</f>
        <v>2.1303683242640158E-2</v>
      </c>
      <c r="AJ52" s="25">
        <v>-8.8956940694260769E-3</v>
      </c>
      <c r="AK52" s="8">
        <f t="shared" si="124"/>
        <v>-3.0199377312066233E-2</v>
      </c>
      <c r="AL52" s="33">
        <f t="shared" si="125"/>
        <v>-1.417566012792614</v>
      </c>
      <c r="AN52" s="23">
        <f>+_xlfn.XLOOKUP($B52,Revenue_FY25B!$B:$B,Revenue_FY25B!M:M,0)/1000</f>
        <v>1.8889439161503475E-2</v>
      </c>
      <c r="AO52" s="25">
        <v>1.9435773374243217E-3</v>
      </c>
      <c r="AP52" s="8">
        <f t="shared" si="126"/>
        <v>-1.6945861824079152E-2</v>
      </c>
      <c r="AQ52" s="33">
        <f t="shared" si="127"/>
        <v>-0.89710772666107963</v>
      </c>
      <c r="AS52" s="23">
        <f>+_xlfn.XLOOKUP($B52,Revenue_FY25B!$B:$B,Revenue_FY25B!N:N,0)/1000</f>
        <v>1.9463822830357559E-2</v>
      </c>
      <c r="AT52" s="25">
        <v>3.6784500407955049E-2</v>
      </c>
      <c r="AU52" s="8">
        <f t="shared" si="128"/>
        <v>1.732067757759749E-2</v>
      </c>
      <c r="AV52" s="33">
        <f t="shared" si="129"/>
        <v>0.88989083637683841</v>
      </c>
      <c r="AX52" s="23">
        <f>+_xlfn.XLOOKUP($B52,Revenue_FY25B!$B:$B,Revenue_FY25B!O:O,0)/1000</f>
        <v>1.9147610794758723E-2</v>
      </c>
      <c r="AY52" s="25">
        <v>3.4450512000000003E-2</v>
      </c>
      <c r="AZ52" s="8">
        <f t="shared" si="130"/>
        <v>1.530290120524128E-2</v>
      </c>
      <c r="BA52" s="33">
        <f t="shared" si="131"/>
        <v>0.79920682372707008</v>
      </c>
      <c r="BC52" s="23">
        <f>+_xlfn.XLOOKUP($B52,Revenue_FY25B!$B:$B,Revenue_FY25B!P:P,0)/1000</f>
        <v>1.8928214575466316E-2</v>
      </c>
      <c r="BD52" s="25">
        <v>0.105785276</v>
      </c>
      <c r="BE52" s="8">
        <f t="shared" si="132"/>
        <v>8.6857061424533685E-2</v>
      </c>
      <c r="BF52" s="33">
        <f t="shared" si="133"/>
        <v>4.5887614533445173</v>
      </c>
      <c r="BH52" s="23">
        <f>+_xlfn.XLOOKUP($B52,Revenue_FY25B!$B:$B,Revenue_FY25B!Q:Q,0)/1000</f>
        <v>1.7101605898030142E-2</v>
      </c>
      <c r="BI52" s="25">
        <v>4.4857020999999997E-2</v>
      </c>
      <c r="BJ52" s="8">
        <f t="shared" si="134"/>
        <v>2.7755415101969855E-2</v>
      </c>
      <c r="BK52" s="33">
        <f t="shared" si="135"/>
        <v>1.6229712734268351</v>
      </c>
      <c r="BM52" s="38">
        <f>Revenue_FY25B!D45/1000</f>
        <v>0.22600000000000001</v>
      </c>
      <c r="BN52" s="38">
        <f t="shared" si="136"/>
        <v>0.33672960108751643</v>
      </c>
      <c r="BO52" s="8">
        <f t="shared" si="137"/>
        <v>0.11072960108751642</v>
      </c>
      <c r="BP52" s="33">
        <f t="shared" si="138"/>
        <v>0.4899539871129045</v>
      </c>
    </row>
    <row r="53" spans="2:68" x14ac:dyDescent="0.25">
      <c r="B53">
        <f>+MAX($B$1:B52)+1</f>
        <v>29</v>
      </c>
      <c r="C53" s="7" t="s">
        <v>60</v>
      </c>
      <c r="E53" s="23">
        <f>+_xlfn.XLOOKUP($B53,Revenue_FY25B!$B:$B,Revenue_FY25B!F:F,0)/1000</f>
        <v>1.7889705712260848E-3</v>
      </c>
      <c r="F53" s="25">
        <v>-2.1668025370206231E-3</v>
      </c>
      <c r="G53" s="8">
        <f t="shared" si="112"/>
        <v>-3.9557731082467077E-3</v>
      </c>
      <c r="H53" s="33">
        <f t="shared" si="113"/>
        <v>-2.2112007720370648</v>
      </c>
      <c r="J53" s="23">
        <f>+_xlfn.XLOOKUP($B53,Revenue_FY25B!$B:$B,Revenue_FY25B!G:G,0)/1000</f>
        <v>1.5748488155336278E-3</v>
      </c>
      <c r="K53" s="25">
        <v>3.6074422534898357E-3</v>
      </c>
      <c r="L53" s="8">
        <f t="shared" si="114"/>
        <v>2.0325934379562078E-3</v>
      </c>
      <c r="M53" s="33">
        <f t="shared" si="115"/>
        <v>1.2906594067364339</v>
      </c>
      <c r="O53" s="23">
        <f>+_xlfn.XLOOKUP($B53,Revenue_FY25B!$B:$B,Revenue_FY25B!H:H,0)/1000</f>
        <v>1.5257927637843738E-3</v>
      </c>
      <c r="P53" s="25">
        <v>2.5186200000000001E-3</v>
      </c>
      <c r="Q53" s="8">
        <f t="shared" si="116"/>
        <v>9.9282723621562621E-4</v>
      </c>
      <c r="R53" s="33">
        <f t="shared" si="117"/>
        <v>0.65069599213011686</v>
      </c>
      <c r="T53" s="23">
        <f>+_xlfn.XLOOKUP($B53,Revenue_FY25B!$B:$B,Revenue_FY25B!I:I,0)/1000</f>
        <v>1.7013476281059806E-3</v>
      </c>
      <c r="U53" s="25">
        <v>2.1388520000000001E-3</v>
      </c>
      <c r="V53" s="8">
        <f t="shared" si="118"/>
        <v>4.375043718940195E-4</v>
      </c>
      <c r="W53" s="33">
        <f t="shared" si="119"/>
        <v>0.25715166299145448</v>
      </c>
      <c r="Y53" s="23">
        <f>+_xlfn.XLOOKUP($B53,Revenue_FY25B!$B:$B,Revenue_FY25B!J:J,0)/1000</f>
        <v>1.5187150981425994E-3</v>
      </c>
      <c r="Z53" s="25">
        <v>-0.118389044</v>
      </c>
      <c r="AA53" s="8">
        <f t="shared" si="120"/>
        <v>-0.11990775909814259</v>
      </c>
      <c r="AB53" s="33">
        <f t="shared" si="121"/>
        <v>-78.953425329603121</v>
      </c>
      <c r="AD53" s="23">
        <f>+_xlfn.XLOOKUP($B53,Revenue_FY25B!$B:$B,Revenue_FY25B!K:K,0)/1000</f>
        <v>1.4228257591677636E-3</v>
      </c>
      <c r="AE53" s="25">
        <v>1.523686E-3</v>
      </c>
      <c r="AF53" s="8">
        <f t="shared" si="122"/>
        <v>1.0086024083223646E-4</v>
      </c>
      <c r="AG53" s="33">
        <f t="shared" si="123"/>
        <v>7.0887274975420342E-2</v>
      </c>
      <c r="AI53" s="23">
        <f>+_xlfn.XLOOKUP($B53,Revenue_FY25B!$B:$B,Revenue_FY25B!L:L,0)/1000</f>
        <v>1.4678736946005689E-3</v>
      </c>
      <c r="AJ53" s="25">
        <v>-3.9870380707763162E-5</v>
      </c>
      <c r="AK53" s="8">
        <f t="shared" si="124"/>
        <v>-1.5077440753083319E-3</v>
      </c>
      <c r="AL53" s="33">
        <f t="shared" si="125"/>
        <v>-1.0271619968764496</v>
      </c>
      <c r="AN53" s="23">
        <f>+_xlfn.XLOOKUP($B53,Revenue_FY25B!$B:$B,Revenue_FY25B!M:M,0)/1000</f>
        <v>1.2428351493431768E-3</v>
      </c>
      <c r="AO53" s="25">
        <v>5.1175230039357761E-4</v>
      </c>
      <c r="AP53" s="8">
        <f t="shared" si="126"/>
        <v>-7.3108284894959918E-4</v>
      </c>
      <c r="AQ53" s="33">
        <f t="shared" si="127"/>
        <v>-0.58823798903335456</v>
      </c>
      <c r="AS53" s="23">
        <f>+_xlfn.XLOOKUP($B53,Revenue_FY25B!$B:$B,Revenue_FY25B!N:N,0)/1000</f>
        <v>1.4801683179250357E-3</v>
      </c>
      <c r="AT53" s="25">
        <v>2.3830378886395584E-3</v>
      </c>
      <c r="AU53" s="8">
        <f t="shared" si="128"/>
        <v>9.0286957071452267E-4</v>
      </c>
      <c r="AV53" s="33">
        <f t="shared" si="129"/>
        <v>0.6099776355031058</v>
      </c>
      <c r="AX53" s="23">
        <f>+_xlfn.XLOOKUP($B53,Revenue_FY25B!$B:$B,Revenue_FY25B!O:O,0)/1000</f>
        <v>1.4896886434488357E-3</v>
      </c>
      <c r="AY53" s="25">
        <v>2.2341280000000002E-3</v>
      </c>
      <c r="AZ53" s="8">
        <f t="shared" si="130"/>
        <v>7.4443935655116441E-4</v>
      </c>
      <c r="BA53" s="33">
        <f t="shared" si="131"/>
        <v>0.49972815448715785</v>
      </c>
      <c r="BC53" s="23">
        <f>+_xlfn.XLOOKUP($B53,Revenue_FY25B!$B:$B,Revenue_FY25B!P:P,0)/1000</f>
        <v>1.4544399202673748E-3</v>
      </c>
      <c r="BD53" s="25">
        <v>5.323599E-3</v>
      </c>
      <c r="BE53" s="8">
        <f t="shared" si="132"/>
        <v>3.8691590797326255E-3</v>
      </c>
      <c r="BF53" s="33">
        <f t="shared" si="133"/>
        <v>2.6602398805317065</v>
      </c>
      <c r="BH53" s="23">
        <f>+_xlfn.XLOOKUP($B53,Revenue_FY25B!$B:$B,Revenue_FY25B!Q:Q,0)/1000</f>
        <v>1.7099894107730999E-3</v>
      </c>
      <c r="BI53" s="25">
        <v>2.774248E-3</v>
      </c>
      <c r="BJ53" s="8">
        <f t="shared" si="134"/>
        <v>1.0642585892269001E-3</v>
      </c>
      <c r="BK53" s="33">
        <f t="shared" si="135"/>
        <v>0.62237729808264741</v>
      </c>
      <c r="BM53" s="38">
        <f>Revenue_FY25B!D46/1000</f>
        <v>1.7999999999999999E-2</v>
      </c>
      <c r="BN53" s="38">
        <f t="shared" si="136"/>
        <v>-9.758035147520544E-2</v>
      </c>
      <c r="BO53" s="8">
        <f t="shared" si="137"/>
        <v>-0.11558035147520544</v>
      </c>
      <c r="BP53" s="33">
        <f t="shared" si="138"/>
        <v>-6.4211306375114141</v>
      </c>
    </row>
    <row r="54" spans="2:68" x14ac:dyDescent="0.25">
      <c r="B54">
        <f>+MAX($B$1:B53)+1</f>
        <v>30</v>
      </c>
      <c r="C54" s="7" t="s">
        <v>61</v>
      </c>
      <c r="E54" s="23">
        <f>+_xlfn.XLOOKUP($B54,Revenue_FY25B!$B:$B,Revenue_FY25B!F:F,0)/1000</f>
        <v>2.8956151780411142E-3</v>
      </c>
      <c r="F54" s="25">
        <v>-3.381919850290268E-3</v>
      </c>
      <c r="G54" s="8">
        <f t="shared" si="112"/>
        <v>-6.2775350283313823E-3</v>
      </c>
      <c r="H54" s="33">
        <f t="shared" si="113"/>
        <v>-2.167945200707968</v>
      </c>
      <c r="J54" s="23">
        <f>+_xlfn.XLOOKUP($B54,Revenue_FY25B!$B:$B,Revenue_FY25B!G:G,0)/1000</f>
        <v>2.8273437494627952E-3</v>
      </c>
      <c r="K54" s="25">
        <v>5.9855415375102113E-3</v>
      </c>
      <c r="L54" s="8">
        <f t="shared" si="114"/>
        <v>3.1581977880474161E-3</v>
      </c>
      <c r="M54" s="33">
        <f t="shared" si="115"/>
        <v>1.1170193891872837</v>
      </c>
      <c r="O54" s="23">
        <f>+_xlfn.XLOOKUP($B54,Revenue_FY25B!$B:$B,Revenue_FY25B!H:H,0)/1000</f>
        <v>2.8404536821529328E-3</v>
      </c>
      <c r="P54" s="25">
        <v>1.84337E-3</v>
      </c>
      <c r="Q54" s="8">
        <f t="shared" si="116"/>
        <v>-9.9708368215293284E-4</v>
      </c>
      <c r="R54" s="33">
        <f t="shared" si="117"/>
        <v>-0.35102972754591422</v>
      </c>
      <c r="T54" s="23">
        <f>+_xlfn.XLOOKUP($B54,Revenue_FY25B!$B:$B,Revenue_FY25B!I:I,0)/1000</f>
        <v>2.9524905962675782E-3</v>
      </c>
      <c r="U54" s="25">
        <v>4.0828599999999998E-3</v>
      </c>
      <c r="V54" s="8">
        <f t="shared" si="118"/>
        <v>1.1303694037324216E-3</v>
      </c>
      <c r="W54" s="33">
        <f t="shared" si="119"/>
        <v>0.38285283792652547</v>
      </c>
      <c r="Y54" s="23">
        <f>+_xlfn.XLOOKUP($B54,Revenue_FY25B!$B:$B,Revenue_FY25B!J:J,0)/1000</f>
        <v>2.8343661369397361E-3</v>
      </c>
      <c r="Z54" s="25">
        <v>3.97182E-3</v>
      </c>
      <c r="AA54" s="8">
        <f t="shared" si="120"/>
        <v>1.137453863060264E-3</v>
      </c>
      <c r="AB54" s="33">
        <f t="shared" si="121"/>
        <v>0.40130802024341583</v>
      </c>
      <c r="AD54" s="23">
        <f>+_xlfn.XLOOKUP($B54,Revenue_FY25B!$B:$B,Revenue_FY25B!K:K,0)/1000</f>
        <v>2.7435211425981365E-3</v>
      </c>
      <c r="AE54" s="25">
        <v>2.6776899999999999E-3</v>
      </c>
      <c r="AF54" s="8">
        <f t="shared" si="122"/>
        <v>-6.583114259813656E-5</v>
      </c>
      <c r="AG54" s="33">
        <f t="shared" si="123"/>
        <v>-2.3995128587124333E-2</v>
      </c>
      <c r="AI54" s="23">
        <f>+_xlfn.XLOOKUP($B54,Revenue_FY25B!$B:$B,Revenue_FY25B!L:L,0)/1000</f>
        <v>2.6941178239876977E-3</v>
      </c>
      <c r="AJ54" s="25">
        <v>2.9223680979056324E-4</v>
      </c>
      <c r="AK54" s="8">
        <f t="shared" si="124"/>
        <v>-2.4018810141971346E-3</v>
      </c>
      <c r="AL54" s="33">
        <f t="shared" si="125"/>
        <v>-0.89152782881707493</v>
      </c>
      <c r="AN54" s="23">
        <f>+_xlfn.XLOOKUP($B54,Revenue_FY25B!$B:$B,Revenue_FY25B!M:M,0)/1000</f>
        <v>2.2133601730860084E-3</v>
      </c>
      <c r="AO54" s="25">
        <v>1.057896284452366E-3</v>
      </c>
      <c r="AP54" s="8">
        <f t="shared" si="126"/>
        <v>-1.1554638886336424E-3</v>
      </c>
      <c r="AQ54" s="33">
        <f t="shared" si="127"/>
        <v>-0.52204060716544864</v>
      </c>
      <c r="AS54" s="23">
        <f>+_xlfn.XLOOKUP($B54,Revenue_FY25B!$B:$B,Revenue_FY25B!N:N,0)/1000</f>
        <v>2.3568129574193315E-3</v>
      </c>
      <c r="AT54" s="25">
        <v>3.8296251935989296E-3</v>
      </c>
      <c r="AU54" s="8">
        <f t="shared" si="128"/>
        <v>1.472812236179598E-3</v>
      </c>
      <c r="AV54" s="33">
        <f t="shared" si="129"/>
        <v>0.62491689531115835</v>
      </c>
      <c r="AX54" s="23">
        <f>+_xlfn.XLOOKUP($B54,Revenue_FY25B!$B:$B,Revenue_FY25B!O:O,0)/1000</f>
        <v>2.2663936322722183E-3</v>
      </c>
      <c r="AY54" s="25">
        <v>3.7560100000000002E-3</v>
      </c>
      <c r="AZ54" s="8">
        <f t="shared" si="130"/>
        <v>1.4896163677277818E-3</v>
      </c>
      <c r="BA54" s="33">
        <f t="shared" si="131"/>
        <v>0.65726286313041615</v>
      </c>
      <c r="BC54" s="23">
        <f>+_xlfn.XLOOKUP($B54,Revenue_FY25B!$B:$B,Revenue_FY25B!P:P,0)/1000</f>
        <v>3.0118501403622231E-3</v>
      </c>
      <c r="BD54" s="25">
        <v>8.4773799999999996E-3</v>
      </c>
      <c r="BE54" s="8">
        <f t="shared" si="132"/>
        <v>5.4655298596377761E-3</v>
      </c>
      <c r="BF54" s="33">
        <f t="shared" si="133"/>
        <v>1.8146752344658352</v>
      </c>
      <c r="BH54" s="23">
        <f>+_xlfn.XLOOKUP($B54,Revenue_FY25B!$B:$B,Revenue_FY25B!Q:Q,0)/1000</f>
        <v>2.8964340777980144E-3</v>
      </c>
      <c r="BI54" s="25">
        <v>4.3583199999999997E-3</v>
      </c>
      <c r="BJ54" s="8">
        <f t="shared" si="134"/>
        <v>1.4618859222019854E-3</v>
      </c>
      <c r="BK54" s="33">
        <f t="shared" si="135"/>
        <v>0.50471921091101435</v>
      </c>
      <c r="BM54" s="38">
        <f>Revenue_FY25B!D47/1000</f>
        <v>3.3000000000000002E-2</v>
      </c>
      <c r="BN54" s="38">
        <f t="shared" si="136"/>
        <v>3.69508299750618E-2</v>
      </c>
      <c r="BO54" s="8">
        <f t="shared" si="137"/>
        <v>3.9508299750617981E-3</v>
      </c>
      <c r="BP54" s="33">
        <f t="shared" si="138"/>
        <v>0.11972212045641811</v>
      </c>
    </row>
    <row r="55" spans="2:68" s="5" customFormat="1" x14ac:dyDescent="0.25">
      <c r="C55" s="10" t="s">
        <v>69</v>
      </c>
      <c r="E55" s="24">
        <f>SUM(E49:E54)</f>
        <v>1.255758050055823</v>
      </c>
      <c r="F55" s="24">
        <f>SUM(F49:F54)</f>
        <v>-1.5534450700000002</v>
      </c>
      <c r="G55" s="24">
        <f t="shared" si="112"/>
        <v>-2.8092031200558232</v>
      </c>
      <c r="H55" s="34">
        <f t="shared" si="113"/>
        <v>-2.2370576242222331</v>
      </c>
      <c r="J55" s="24">
        <f>SUM(J49:J54)</f>
        <v>1.2375794828216211</v>
      </c>
      <c r="K55" s="24">
        <f>SUM(K49:K54)</f>
        <v>2.6609466100000008</v>
      </c>
      <c r="L55" s="24">
        <f t="shared" si="114"/>
        <v>1.4233671271783797</v>
      </c>
      <c r="M55" s="34">
        <f t="shared" si="115"/>
        <v>1.1501217876795855</v>
      </c>
      <c r="O55" s="24">
        <f>SUM(O49:O54)</f>
        <v>1.2176742745112474</v>
      </c>
      <c r="P55" s="24">
        <f>SUM(P49:P54)</f>
        <v>1.2917809800000002</v>
      </c>
      <c r="Q55" s="24">
        <f t="shared" si="116"/>
        <v>7.4106705488752755E-2</v>
      </c>
      <c r="R55" s="34">
        <f t="shared" si="117"/>
        <v>6.0859219119577652E-2</v>
      </c>
      <c r="T55" s="24">
        <f>SUM(T49:T54)</f>
        <v>1.2425731383625138</v>
      </c>
      <c r="U55" s="24">
        <f>SUM(U49:U54)</f>
        <v>1.8131263960000001</v>
      </c>
      <c r="V55" s="24">
        <f t="shared" si="118"/>
        <v>0.57055325763748632</v>
      </c>
      <c r="W55" s="34">
        <f t="shared" si="119"/>
        <v>0.45917076429752224</v>
      </c>
      <c r="Y55" s="24">
        <f>SUM(Y49:Y54)</f>
        <v>1.1355084132917908</v>
      </c>
      <c r="Z55" s="24">
        <f>SUM(Z49:Z54)</f>
        <v>1.3907177960000001</v>
      </c>
      <c r="AA55" s="24">
        <f t="shared" si="120"/>
        <v>0.25520938270820936</v>
      </c>
      <c r="AB55" s="34">
        <f t="shared" si="121"/>
        <v>0.22475340536523916</v>
      </c>
      <c r="AD55" s="24">
        <f>SUM(AD49:AD54)</f>
        <v>1.1076890260831513</v>
      </c>
      <c r="AE55" s="24">
        <f>SUM(AE49:AE54)</f>
        <v>1.1726650980000002</v>
      </c>
      <c r="AF55" s="24">
        <f t="shared" si="122"/>
        <v>6.4976071916848843E-2</v>
      </c>
      <c r="AG55" s="34">
        <f t="shared" si="123"/>
        <v>5.8659127595231099E-2</v>
      </c>
      <c r="AI55" s="24">
        <f>SUM(AI49:AI54)</f>
        <v>1.0283352524818046</v>
      </c>
      <c r="AJ55" s="24">
        <f>SUM(AJ49:AJ54)</f>
        <v>9.7274733333360137E-3</v>
      </c>
      <c r="AK55" s="24">
        <f t="shared" si="124"/>
        <v>-1.0186077791484685</v>
      </c>
      <c r="AL55" s="34">
        <f t="shared" si="125"/>
        <v>-0.99054056222437226</v>
      </c>
      <c r="AN55" s="24">
        <f>SUM(AN49:AN54)</f>
        <v>0.93904712961120662</v>
      </c>
      <c r="AO55" s="24">
        <f>SUM(AO49:AO54)</f>
        <v>0.36457053333333617</v>
      </c>
      <c r="AP55" s="24">
        <f t="shared" si="126"/>
        <v>-0.5744765962778704</v>
      </c>
      <c r="AQ55" s="34">
        <f t="shared" si="127"/>
        <v>-0.61176545687938022</v>
      </c>
      <c r="AS55" s="24">
        <f>SUM(AS49:AS54)</f>
        <v>1.1144022895967216</v>
      </c>
      <c r="AT55" s="24">
        <f>SUM(AT49:AT54)</f>
        <v>1.4680486633333358</v>
      </c>
      <c r="AU55" s="24">
        <f t="shared" si="128"/>
        <v>0.35364637373661423</v>
      </c>
      <c r="AV55" s="34">
        <f t="shared" si="129"/>
        <v>0.31734175085425509</v>
      </c>
      <c r="AX55" s="24">
        <f>SUM(AX49:AX54)</f>
        <v>1.0860205889929522</v>
      </c>
      <c r="AY55" s="24">
        <f>SUM(AY49:AY54)</f>
        <v>1.4479999840000002</v>
      </c>
      <c r="AZ55" s="24">
        <f t="shared" si="130"/>
        <v>0.36197939500704801</v>
      </c>
      <c r="BA55" s="34">
        <f t="shared" si="131"/>
        <v>0.33330804100381295</v>
      </c>
      <c r="BC55" s="24">
        <f>SUM(BC49:BC54)</f>
        <v>1.1921189385504929</v>
      </c>
      <c r="BD55" s="24">
        <f>SUM(BD49:BD54)</f>
        <v>3.5996669810000004</v>
      </c>
      <c r="BE55" s="24">
        <f t="shared" si="132"/>
        <v>2.4075480424495073</v>
      </c>
      <c r="BF55" s="34">
        <f t="shared" si="133"/>
        <v>2.0195535567758571</v>
      </c>
      <c r="BH55" s="24">
        <f>SUM(BH49:BH54)</f>
        <v>1.1887433379431944</v>
      </c>
      <c r="BI55" s="24">
        <f>SUM(BI49:BI54)</f>
        <v>1.9258364709999998</v>
      </c>
      <c r="BJ55" s="24">
        <f t="shared" si="134"/>
        <v>0.73709313305680535</v>
      </c>
      <c r="BK55" s="34">
        <f t="shared" si="135"/>
        <v>0.62006078985237456</v>
      </c>
      <c r="BM55" s="24">
        <f>SUM(BM49:BM54)</f>
        <v>13.745000000000003</v>
      </c>
      <c r="BN55" s="24">
        <f>SUM(BN49:BN54)</f>
        <v>15.591641916000009</v>
      </c>
      <c r="BO55" s="24">
        <f t="shared" si="137"/>
        <v>1.8466419160000065</v>
      </c>
      <c r="BP55" s="34">
        <f t="shared" si="138"/>
        <v>0.13435008483084804</v>
      </c>
    </row>
    <row r="56" spans="2:68" s="5" customFormat="1" x14ac:dyDescent="0.25">
      <c r="C56" s="10"/>
      <c r="E56" s="237"/>
      <c r="F56" s="237"/>
      <c r="G56" s="237"/>
      <c r="H56" s="101"/>
      <c r="J56" s="237"/>
      <c r="K56" s="237"/>
      <c r="L56" s="237"/>
      <c r="M56" s="101"/>
      <c r="O56" s="237"/>
      <c r="P56" s="237"/>
      <c r="Q56" s="237"/>
      <c r="R56" s="101"/>
      <c r="T56" s="237"/>
      <c r="U56" s="237"/>
      <c r="V56" s="237"/>
      <c r="W56" s="101"/>
      <c r="Y56" s="237"/>
      <c r="Z56" s="237"/>
      <c r="AA56" s="237"/>
      <c r="AB56" s="101"/>
      <c r="AD56" s="237"/>
      <c r="AE56" s="237"/>
      <c r="AF56" s="237"/>
      <c r="AG56" s="101"/>
      <c r="AI56" s="237"/>
      <c r="AJ56" s="237"/>
      <c r="AK56" s="237"/>
      <c r="AL56" s="101"/>
      <c r="AN56" s="237"/>
      <c r="AO56" s="237"/>
      <c r="AP56" s="237"/>
      <c r="AQ56" s="101"/>
      <c r="AS56" s="237"/>
      <c r="AT56" s="237"/>
      <c r="AU56" s="237"/>
      <c r="AV56" s="101"/>
      <c r="AX56" s="237"/>
      <c r="AY56" s="237"/>
      <c r="AZ56" s="237"/>
      <c r="BA56" s="101"/>
      <c r="BC56" s="237"/>
      <c r="BD56" s="237"/>
      <c r="BE56" s="237"/>
      <c r="BF56" s="101"/>
      <c r="BH56" s="237"/>
      <c r="BI56" s="237"/>
      <c r="BJ56" s="237"/>
      <c r="BK56" s="101"/>
      <c r="BM56" s="237"/>
      <c r="BN56" s="237"/>
      <c r="BO56" s="237"/>
      <c r="BP56" s="101"/>
    </row>
    <row r="57" spans="2:68" s="5" customFormat="1" x14ac:dyDescent="0.25">
      <c r="C57" s="6" t="s">
        <v>70</v>
      </c>
      <c r="E57" s="237"/>
      <c r="F57" s="237"/>
      <c r="G57" s="237"/>
      <c r="H57" s="101"/>
      <c r="J57" s="237"/>
      <c r="K57" s="237"/>
      <c r="L57" s="237"/>
      <c r="M57" s="101"/>
      <c r="O57" s="237"/>
      <c r="P57" s="237"/>
      <c r="Q57" s="237"/>
      <c r="R57" s="101"/>
      <c r="T57" s="237"/>
      <c r="U57" s="237"/>
      <c r="V57" s="237"/>
      <c r="W57" s="101"/>
      <c r="Y57" s="237"/>
      <c r="Z57" s="237"/>
      <c r="AA57" s="237"/>
      <c r="AB57" s="101"/>
      <c r="AD57" s="237"/>
      <c r="AE57" s="237"/>
      <c r="AF57" s="237"/>
      <c r="AG57" s="101"/>
      <c r="AI57" s="237"/>
      <c r="AJ57" s="237"/>
      <c r="AK57" s="237"/>
      <c r="AL57" s="101"/>
      <c r="AN57" s="237"/>
      <c r="AO57" s="237"/>
      <c r="AP57" s="237"/>
      <c r="AQ57" s="101"/>
      <c r="AS57" s="237"/>
      <c r="AT57" s="237"/>
      <c r="AU57" s="237"/>
      <c r="AV57" s="101"/>
      <c r="AX57" s="237"/>
      <c r="AY57" s="237"/>
      <c r="AZ57" s="237"/>
      <c r="BA57" s="101"/>
      <c r="BC57" s="237"/>
      <c r="BD57" s="237"/>
      <c r="BE57" s="237"/>
      <c r="BF57" s="101"/>
      <c r="BH57" s="237"/>
      <c r="BI57" s="237"/>
      <c r="BJ57" s="237"/>
      <c r="BK57" s="101"/>
      <c r="BM57" s="237"/>
      <c r="BN57" s="237"/>
      <c r="BO57" s="237"/>
      <c r="BP57" s="101"/>
    </row>
    <row r="58" spans="2:68" s="5" customFormat="1" x14ac:dyDescent="0.25">
      <c r="C58" s="10" t="s">
        <v>24</v>
      </c>
      <c r="E58" s="24">
        <f>SUM(E19,E28,E37,E46,E55)</f>
        <v>358.65051326922656</v>
      </c>
      <c r="F58" s="24">
        <f>SUM(F19,F28,F37,F46,F55)</f>
        <v>418.62465250882946</v>
      </c>
      <c r="G58" s="24">
        <f t="shared" ref="G58:G68" si="139">F58-E58</f>
        <v>59.974139239602891</v>
      </c>
      <c r="H58" s="34">
        <f t="shared" ref="H58:H69" si="140">IFERROR(G58/E58,"n.a.")</f>
        <v>0.1672216740829878</v>
      </c>
      <c r="J58" s="24">
        <f>SUM(J19,J28,J37,J46,J55)</f>
        <v>353.75297861319916</v>
      </c>
      <c r="K58" s="24">
        <f>SUM(K19,K28,K37,K46,K55)</f>
        <v>387.14096501001342</v>
      </c>
      <c r="L58" s="24">
        <f t="shared" si="114"/>
        <v>33.387986396814256</v>
      </c>
      <c r="M58" s="34">
        <f t="shared" si="115"/>
        <v>9.4382205706658867E-2</v>
      </c>
      <c r="O58" s="24">
        <f>SUM(O19,O28,O37,O46,O55)</f>
        <v>348.62243452937332</v>
      </c>
      <c r="P58" s="24">
        <f>SUM(P19,P28,P37,P46,P55)</f>
        <v>355.63269978799997</v>
      </c>
      <c r="Q58" s="24">
        <f t="shared" si="116"/>
        <v>7.0102652586266458</v>
      </c>
      <c r="R58" s="34">
        <f t="shared" si="117"/>
        <v>2.0108474281324524E-2</v>
      </c>
      <c r="T58" s="24">
        <f>SUM(T19,T28,T37,T46,T55)</f>
        <v>356.79058853533013</v>
      </c>
      <c r="U58" s="24">
        <f>SUM(U19,U28,U37,U46,U55)</f>
        <v>344.52018976999994</v>
      </c>
      <c r="V58" s="24">
        <f t="shared" si="118"/>
        <v>-12.270398765330185</v>
      </c>
      <c r="W58" s="34">
        <f t="shared" si="119"/>
        <v>-3.4391038215726775E-2</v>
      </c>
      <c r="Y58" s="24">
        <f>SUM(Y19,Y28,Y37,Y46,Y55)</f>
        <v>328.35184777066218</v>
      </c>
      <c r="Z58" s="24">
        <f>SUM(Z19,Z28,Z37,Z46,Z55)</f>
        <v>268.67403085500001</v>
      </c>
      <c r="AA58" s="24">
        <f t="shared" si="120"/>
        <v>-59.677816915662163</v>
      </c>
      <c r="AB58" s="34">
        <f t="shared" si="121"/>
        <v>-0.18174959976879504</v>
      </c>
      <c r="AD58" s="24">
        <f>SUM(AD19,AD28,AD37,AD46,AD55)</f>
        <v>320.80708879702428</v>
      </c>
      <c r="AE58" s="24">
        <f>SUM(AE19,AE28,AE37,AE46,AE55)</f>
        <v>308.17049105000001</v>
      </c>
      <c r="AF58" s="24">
        <f t="shared" si="122"/>
        <v>-12.636597747024268</v>
      </c>
      <c r="AG58" s="34">
        <f t="shared" si="123"/>
        <v>-3.939002032158799E-2</v>
      </c>
      <c r="AI58" s="24">
        <f>SUM(AI19,AI28,AI37,AI46,AI55)</f>
        <v>309.81992184349997</v>
      </c>
      <c r="AJ58" s="24">
        <f>SUM(AJ19,AJ28,AJ37,AJ46,AJ55)</f>
        <v>342.96934629418223</v>
      </c>
      <c r="AK58" s="24">
        <f t="shared" ref="AK58:AK69" si="141">AJ58-AI58</f>
        <v>33.149424450682261</v>
      </c>
      <c r="AL58" s="34">
        <f t="shared" ref="AL58:AL69" si="142">IFERROR(AK58/AI58,"n.a.")</f>
        <v>0.1069957808182106</v>
      </c>
      <c r="AN58" s="24">
        <f>SUM(AN19,AN28,AN37,AN46,AN55)</f>
        <v>285.22640503021842</v>
      </c>
      <c r="AO58" s="24">
        <f>SUM(AO19,AO28,AO37,AO46,AO55)</f>
        <v>316.65116634953097</v>
      </c>
      <c r="AP58" s="24">
        <f t="shared" si="126"/>
        <v>31.424761319312552</v>
      </c>
      <c r="AQ58" s="34">
        <f t="shared" si="127"/>
        <v>0.1101747971615154</v>
      </c>
      <c r="AS58" s="24">
        <f>SUM(AS19,AS28,AS37,AS46,AS55)</f>
        <v>333.10650454506975</v>
      </c>
      <c r="AT58" s="24">
        <f>SUM(AT19,AT28,AT37,AT46,AT55)</f>
        <v>369.52381906467548</v>
      </c>
      <c r="AU58" s="24">
        <f t="shared" si="128"/>
        <v>36.417314519605725</v>
      </c>
      <c r="AV58" s="34">
        <f t="shared" si="129"/>
        <v>0.10932633864157526</v>
      </c>
      <c r="AX58" s="24">
        <f>SUM(AX19,AX28,AX37,AX46,AX55)</f>
        <v>310.94541780181902</v>
      </c>
      <c r="AY58" s="24">
        <f>SUM(AY19,AY28,AY37,AY46,AY55)</f>
        <v>300.26668877799995</v>
      </c>
      <c r="AZ58" s="24">
        <f t="shared" si="130"/>
        <v>-10.678729023819074</v>
      </c>
      <c r="BA58" s="34">
        <f t="shared" si="131"/>
        <v>-3.4342776617551439E-2</v>
      </c>
      <c r="BC58" s="24">
        <f>SUM(BC19,BC28,BC37,BC46,BC55)</f>
        <v>338.5012147920898</v>
      </c>
      <c r="BD58" s="24">
        <f>SUM(BD19,BD28,BD37,BD46,BD55)</f>
        <v>335.471893024</v>
      </c>
      <c r="BE58" s="24">
        <f t="shared" si="132"/>
        <v>-3.029321768089801</v>
      </c>
      <c r="BF58" s="34">
        <f t="shared" si="133"/>
        <v>-8.9492197833039838E-3</v>
      </c>
      <c r="BH58" s="24">
        <f>SUM(BH19,BH28,BH37,BH46,BH55)</f>
        <v>337.68818369930176</v>
      </c>
      <c r="BI58" s="24">
        <f>SUM(BI19,BI28,BI37,BI46,BI55)</f>
        <v>364.53680255899997</v>
      </c>
      <c r="BJ58" s="24">
        <f t="shared" si="134"/>
        <v>26.848618859698206</v>
      </c>
      <c r="BK58" s="34">
        <f t="shared" si="135"/>
        <v>7.9507131595714528E-2</v>
      </c>
      <c r="BM58" s="24">
        <f>SUM(BM19,BM28,BM37,BM46,BM55)</f>
        <v>3982.2620000000002</v>
      </c>
      <c r="BN58" s="24">
        <f>SUM(BN19,BN28,BN37,BN46,BN55)</f>
        <v>4112.1827450512319</v>
      </c>
      <c r="BO58" s="24">
        <f t="shared" si="137"/>
        <v>129.92074505123173</v>
      </c>
      <c r="BP58" s="34">
        <f t="shared" si="138"/>
        <v>3.2624861209842981E-2</v>
      </c>
    </row>
    <row r="59" spans="2:68" s="5" customFormat="1" x14ac:dyDescent="0.25">
      <c r="B59">
        <v>31</v>
      </c>
      <c r="C59" s="15" t="s">
        <v>194</v>
      </c>
      <c r="E59" s="23">
        <f>+_xlfn.XLOOKUP($B59,Revenue_FY25B!$B:$B,Revenue_FY25B!F:F,0)/1000</f>
        <v>26.130500000000001</v>
      </c>
      <c r="F59" s="25">
        <v>0</v>
      </c>
      <c r="G59" s="8">
        <f t="shared" si="139"/>
        <v>-26.130500000000001</v>
      </c>
      <c r="H59" s="33">
        <f t="shared" si="140"/>
        <v>-1</v>
      </c>
      <c r="J59" s="23">
        <f>+_xlfn.XLOOKUP($B59,Revenue_FY25B!$B:$B,Revenue_FY25B!G:G,0)/1000</f>
        <v>26.130500000000001</v>
      </c>
      <c r="K59" s="25">
        <v>0</v>
      </c>
      <c r="L59" s="8">
        <f t="shared" ref="L59:L69" si="143">K59-J59</f>
        <v>-26.130500000000001</v>
      </c>
      <c r="M59" s="33">
        <f t="shared" ref="M59:M69" si="144">IFERROR(L59/J59,"n.a.")</f>
        <v>-1</v>
      </c>
      <c r="O59" s="23">
        <f>+_xlfn.XLOOKUP($B59,Revenue_FY25B!$B:$B,Revenue_FY25B!H:H,0)/1000</f>
        <v>26.130500000000001</v>
      </c>
      <c r="P59" s="25">
        <v>0</v>
      </c>
      <c r="Q59" s="8">
        <f t="shared" ref="Q59:Q69" si="145">P59-O59</f>
        <v>-26.130500000000001</v>
      </c>
      <c r="R59" s="33">
        <f t="shared" ref="R59:R69" si="146">IFERROR(Q59/O59,"n.a.")</f>
        <v>-1</v>
      </c>
      <c r="T59" s="23">
        <f>+_xlfn.XLOOKUP($B59,Revenue_FY25B!$B:$B,Revenue_FY25B!I:I,0)/1000</f>
        <v>26.130500000000001</v>
      </c>
      <c r="U59" s="25">
        <v>0</v>
      </c>
      <c r="V59" s="8">
        <f t="shared" ref="V59:V69" si="147">U59-T59</f>
        <v>-26.130500000000001</v>
      </c>
      <c r="W59" s="33">
        <f t="shared" ref="W59:W69" si="148">IFERROR(V59/T59,"n.a.")</f>
        <v>-1</v>
      </c>
      <c r="Y59" s="23">
        <f>+_xlfn.XLOOKUP($B59,Revenue_FY25B!$B:$B,Revenue_FY25B!J:J,0)/1000</f>
        <v>26.130500000000001</v>
      </c>
      <c r="Z59" s="25">
        <v>0</v>
      </c>
      <c r="AA59" s="8">
        <f t="shared" ref="AA59:AA69" si="149">Z59-Y59</f>
        <v>-26.130500000000001</v>
      </c>
      <c r="AB59" s="33">
        <f t="shared" ref="AB59:AB69" si="150">IFERROR(AA59/Y59,"n.a.")</f>
        <v>-1</v>
      </c>
      <c r="AD59" s="23">
        <f>+_xlfn.XLOOKUP($B59,Revenue_FY25B!$B:$B,Revenue_FY25B!K:K,0)/1000</f>
        <v>26.130500000000001</v>
      </c>
      <c r="AE59" s="25">
        <v>0</v>
      </c>
      <c r="AF59" s="8">
        <f t="shared" ref="AF59:AF69" si="151">AE59-AD59</f>
        <v>-26.130500000000001</v>
      </c>
      <c r="AG59" s="33">
        <f t="shared" ref="AG59:AG69" si="152">IFERROR(AF59/AD59,"n.a.")</f>
        <v>-1</v>
      </c>
      <c r="AI59" s="23">
        <f>+_xlfn.XLOOKUP($B59,Revenue_FY25B!$B:$B,Revenue_FY25B!L:L,0)/1000</f>
        <v>0</v>
      </c>
      <c r="AJ59" s="25"/>
      <c r="AK59" s="8">
        <f t="shared" si="141"/>
        <v>0</v>
      </c>
      <c r="AL59" s="33" t="str">
        <f t="shared" si="142"/>
        <v>n.a.</v>
      </c>
      <c r="AN59" s="23">
        <f>+_xlfn.XLOOKUP($B59,Revenue_FY25B!$B:$B,Revenue_FY25B!M:M,0)/1000</f>
        <v>0</v>
      </c>
      <c r="AO59" s="25"/>
      <c r="AP59" s="8">
        <f t="shared" ref="AP59:AP69" si="153">AO59-AN59</f>
        <v>0</v>
      </c>
      <c r="AQ59" s="33" t="str">
        <f t="shared" ref="AQ59:AQ69" si="154">IFERROR(AP59/AN59,"n.a.")</f>
        <v>n.a.</v>
      </c>
      <c r="AS59" s="23">
        <f>+_xlfn.XLOOKUP($B59,Revenue_FY25B!$B:$B,Revenue_FY25B!N:N,0)/1000</f>
        <v>0</v>
      </c>
      <c r="AT59" s="25"/>
      <c r="AU59" s="8">
        <f t="shared" ref="AU59:AU69" si="155">AT59-AS59</f>
        <v>0</v>
      </c>
      <c r="AV59" s="33" t="str">
        <f t="shared" ref="AV59:AV69" si="156">IFERROR(AU59/AS59,"n.a.")</f>
        <v>n.a.</v>
      </c>
      <c r="AX59" s="23">
        <f>+_xlfn.XLOOKUP($B59,Revenue_FY25B!$B:$B,Revenue_FY25B!O:O,0)/1000</f>
        <v>0</v>
      </c>
      <c r="AY59" s="25"/>
      <c r="AZ59" s="8">
        <f t="shared" ref="AZ59:AZ69" si="157">AY59-AX59</f>
        <v>0</v>
      </c>
      <c r="BA59" s="33" t="str">
        <f t="shared" ref="BA59:BA69" si="158">IFERROR(AZ59/AX59,"n.a.")</f>
        <v>n.a.</v>
      </c>
      <c r="BC59" s="23">
        <f>+_xlfn.XLOOKUP($B59,Revenue_FY25B!$B:$B,Revenue_FY25B!P:P,0)/1000</f>
        <v>0</v>
      </c>
      <c r="BD59" s="25"/>
      <c r="BE59" s="8">
        <f t="shared" ref="BE59:BE69" si="159">BD59-BC59</f>
        <v>0</v>
      </c>
      <c r="BF59" s="33" t="str">
        <f t="shared" ref="BF59:BF69" si="160">IFERROR(BE59/BC59,"n.a.")</f>
        <v>n.a.</v>
      </c>
      <c r="BH59" s="23">
        <f>+_xlfn.XLOOKUP($B59,Revenue_FY25B!$B:$B,Revenue_FY25B!Q:Q,0)/1000</f>
        <v>0</v>
      </c>
      <c r="BI59" s="25"/>
      <c r="BJ59" s="8">
        <f t="shared" ref="BJ59:BJ69" si="161">BI59-BH59</f>
        <v>0</v>
      </c>
      <c r="BK59" s="33" t="str">
        <f t="shared" ref="BK59:BK69" si="162">IFERROR(BJ59/BH59,"n.a.")</f>
        <v>n.a.</v>
      </c>
      <c r="BM59" s="38">
        <f>Revenue_FY25B!D51/1000</f>
        <v>156.78299999999999</v>
      </c>
      <c r="BN59" s="38">
        <f t="shared" ref="BN59:BN60" si="163">+F59+K59+P59+U59+Z59+AE59+AJ59+AO59+AT59+AY59+BD59+BI59</f>
        <v>0</v>
      </c>
      <c r="BO59" s="8">
        <f t="shared" ref="BO59:BO68" si="164">BN59-BM59</f>
        <v>-156.78299999999999</v>
      </c>
      <c r="BP59" s="33">
        <f t="shared" ref="BP59:BP68" si="165">IFERROR(BO59/BM59,"n.a.")</f>
        <v>-1</v>
      </c>
    </row>
    <row r="60" spans="2:68" s="5" customFormat="1" x14ac:dyDescent="0.25">
      <c r="B60">
        <v>32</v>
      </c>
      <c r="C60" s="15" t="s">
        <v>25</v>
      </c>
      <c r="E60" s="23">
        <f>+_xlfn.XLOOKUP($B60,Revenue_FY25B!$B:$B,Revenue_FY25B!F:F,0)/1000</f>
        <v>7.4712500000000004</v>
      </c>
      <c r="F60" s="25">
        <v>28.237286529999999</v>
      </c>
      <c r="G60" s="8">
        <f t="shared" si="139"/>
        <v>20.766036529999997</v>
      </c>
      <c r="H60" s="33">
        <f t="shared" si="140"/>
        <v>2.7794594652835865</v>
      </c>
      <c r="J60" s="23">
        <f>+_xlfn.XLOOKUP($B60,Revenue_FY25B!$B:$B,Revenue_FY25B!G:G,0)/1000</f>
        <v>7.4712500000000004</v>
      </c>
      <c r="K60" s="25">
        <v>6.8643851299999996</v>
      </c>
      <c r="L60" s="8">
        <f t="shared" si="143"/>
        <v>-0.60686487000000078</v>
      </c>
      <c r="M60" s="33">
        <f t="shared" si="144"/>
        <v>-8.1226684959009643E-2</v>
      </c>
      <c r="O60" s="23">
        <f>+_xlfn.XLOOKUP($B60,Revenue_FY25B!$B:$B,Revenue_FY25B!H:H,0)/1000</f>
        <v>7.4712500000000004</v>
      </c>
      <c r="P60" s="25">
        <v>68.589780430000005</v>
      </c>
      <c r="Q60" s="8">
        <f t="shared" si="145"/>
        <v>61.118530430000007</v>
      </c>
      <c r="R60" s="33">
        <f t="shared" si="146"/>
        <v>8.1804959585076134</v>
      </c>
      <c r="T60" s="23">
        <f>+_xlfn.XLOOKUP($B60,Revenue_FY25B!$B:$B,Revenue_FY25B!I:I,0)/1000</f>
        <v>7.4712500000000004</v>
      </c>
      <c r="U60" s="25">
        <v>5.4871746300000002</v>
      </c>
      <c r="V60" s="8">
        <f t="shared" si="147"/>
        <v>-1.9840753700000002</v>
      </c>
      <c r="W60" s="33">
        <f t="shared" si="148"/>
        <v>-0.26556136791032292</v>
      </c>
      <c r="Y60" s="23">
        <f>+_xlfn.XLOOKUP($B60,Revenue_FY25B!$B:$B,Revenue_FY25B!J:J,0)/1000</f>
        <v>7.4712500000000004</v>
      </c>
      <c r="Z60" s="25">
        <v>7.21715953</v>
      </c>
      <c r="AA60" s="8">
        <f t="shared" si="149"/>
        <v>-0.2540904700000004</v>
      </c>
      <c r="AB60" s="33">
        <f t="shared" si="150"/>
        <v>-3.4009097540572249E-2</v>
      </c>
      <c r="AD60" s="23">
        <f>+_xlfn.XLOOKUP($B60,Revenue_FY25B!$B:$B,Revenue_FY25B!K:K,0)/1000</f>
        <v>7.4712500000000004</v>
      </c>
      <c r="AE60" s="25">
        <v>12.59718638</v>
      </c>
      <c r="AF60" s="8">
        <f t="shared" si="151"/>
        <v>5.1259363799999997</v>
      </c>
      <c r="AG60" s="33">
        <f t="shared" si="152"/>
        <v>0.6860881887234398</v>
      </c>
      <c r="AI60" s="23">
        <f>+_xlfn.XLOOKUP($B60,Revenue_FY25B!$B:$B,Revenue_FY25B!L:L,0)/1000</f>
        <v>7.4712500000000004</v>
      </c>
      <c r="AJ60" s="25">
        <v>-0.30355588</v>
      </c>
      <c r="AK60" s="8">
        <f t="shared" si="141"/>
        <v>-7.7748058800000006</v>
      </c>
      <c r="AL60" s="33">
        <f t="shared" si="142"/>
        <v>-1.0406298651497408</v>
      </c>
      <c r="AN60" s="23">
        <f>+_xlfn.XLOOKUP($B60,Revenue_FY25B!$B:$B,Revenue_FY25B!M:M,0)/1000</f>
        <v>7.4712500000000004</v>
      </c>
      <c r="AO60" s="25">
        <v>-8.9103317799999999</v>
      </c>
      <c r="AP60" s="8">
        <f t="shared" si="153"/>
        <v>-16.381581780000001</v>
      </c>
      <c r="AQ60" s="33">
        <f t="shared" si="154"/>
        <v>-2.1926159317383305</v>
      </c>
      <c r="AS60" s="23">
        <f>+_xlfn.XLOOKUP($B60,Revenue_FY25B!$B:$B,Revenue_FY25B!N:N,0)/1000</f>
        <v>7.4712500000000004</v>
      </c>
      <c r="AT60" s="25">
        <v>5.9195536730000002</v>
      </c>
      <c r="AU60" s="8">
        <f t="shared" si="155"/>
        <v>-1.5516963270000002</v>
      </c>
      <c r="AV60" s="33">
        <f t="shared" si="156"/>
        <v>-0.20768898470804753</v>
      </c>
      <c r="AX60" s="23">
        <f>+_xlfn.XLOOKUP($B60,Revenue_FY25B!$B:$B,Revenue_FY25B!O:O,0)/1000</f>
        <v>7.4712500000000004</v>
      </c>
      <c r="AY60" s="25">
        <v>5.0524676399999997</v>
      </c>
      <c r="AZ60" s="8">
        <f t="shared" si="157"/>
        <v>-2.4187823600000007</v>
      </c>
      <c r="BA60" s="33">
        <f t="shared" si="158"/>
        <v>-0.32374533846411252</v>
      </c>
      <c r="BC60" s="23">
        <f>+_xlfn.XLOOKUP($B60,Revenue_FY25B!$B:$B,Revenue_FY25B!P:P,0)/1000</f>
        <v>7.4712500000000004</v>
      </c>
      <c r="BD60" s="25">
        <v>13.42776229</v>
      </c>
      <c r="BE60" s="8">
        <f t="shared" si="159"/>
        <v>5.95651229</v>
      </c>
      <c r="BF60" s="33">
        <f t="shared" si="160"/>
        <v>0.79725779354191062</v>
      </c>
      <c r="BH60" s="23">
        <f>+_xlfn.XLOOKUP($B60,Revenue_FY25B!$B:$B,Revenue_FY25B!Q:Q,0)/1000</f>
        <v>7.4712500000000004</v>
      </c>
      <c r="BI60" s="25">
        <v>-12.98902899</v>
      </c>
      <c r="BJ60" s="8">
        <f t="shared" si="161"/>
        <v>-20.460278989999999</v>
      </c>
      <c r="BK60" s="33">
        <f t="shared" si="162"/>
        <v>-2.7385349158440686</v>
      </c>
      <c r="BM60" s="38">
        <f>Revenue_FY25B!D52/1000</f>
        <v>89.655000000000001</v>
      </c>
      <c r="BN60" s="38">
        <f t="shared" si="163"/>
        <v>131.18983958300001</v>
      </c>
      <c r="BO60" s="8">
        <f t="shared" si="164"/>
        <v>41.534839583000007</v>
      </c>
      <c r="BP60" s="33">
        <f t="shared" si="165"/>
        <v>0.46327410164519556</v>
      </c>
    </row>
    <row r="61" spans="2:68" x14ac:dyDescent="0.25">
      <c r="B61">
        <v>33</v>
      </c>
      <c r="C61" s="15" t="s">
        <v>195</v>
      </c>
      <c r="E61" s="23">
        <f>+_xlfn.XLOOKUP($B61,Revenue_FY25B!$B:$B,Revenue_FY25B!F:F,0)/1000</f>
        <v>6.2284166666666669</v>
      </c>
      <c r="F61" s="25">
        <v>0</v>
      </c>
      <c r="G61" s="8">
        <f t="shared" si="139"/>
        <v>-6.2284166666666669</v>
      </c>
      <c r="H61" s="33">
        <f t="shared" si="140"/>
        <v>-1</v>
      </c>
      <c r="J61" s="23">
        <f>+_xlfn.XLOOKUP($B61,Revenue_FY25B!$B:$B,Revenue_FY25B!G:G,0)/1000</f>
        <v>6.2284166666666669</v>
      </c>
      <c r="K61" s="25">
        <v>0</v>
      </c>
      <c r="L61" s="8">
        <f t="shared" si="143"/>
        <v>-6.2284166666666669</v>
      </c>
      <c r="M61" s="33">
        <f t="shared" si="144"/>
        <v>-1</v>
      </c>
      <c r="O61" s="23">
        <f>+_xlfn.XLOOKUP($B61,Revenue_FY25B!$B:$B,Revenue_FY25B!H:H,0)/1000</f>
        <v>6.2284166666666669</v>
      </c>
      <c r="P61" s="25">
        <v>0</v>
      </c>
      <c r="Q61" s="8">
        <f t="shared" si="145"/>
        <v>-6.2284166666666669</v>
      </c>
      <c r="R61" s="33">
        <f t="shared" si="146"/>
        <v>-1</v>
      </c>
      <c r="T61" s="23">
        <f>+_xlfn.XLOOKUP($B61,Revenue_FY25B!$B:$B,Revenue_FY25B!I:I,0)/1000</f>
        <v>6.2284166666666669</v>
      </c>
      <c r="U61" s="25">
        <v>0</v>
      </c>
      <c r="V61" s="8">
        <f t="shared" si="147"/>
        <v>-6.2284166666666669</v>
      </c>
      <c r="W61" s="33">
        <f t="shared" si="148"/>
        <v>-1</v>
      </c>
      <c r="Y61" s="23">
        <f>+_xlfn.XLOOKUP($B61,Revenue_FY25B!$B:$B,Revenue_FY25B!J:J,0)/1000</f>
        <v>6.2284166666666669</v>
      </c>
      <c r="Z61" s="25">
        <v>0</v>
      </c>
      <c r="AA61" s="8">
        <f t="shared" si="149"/>
        <v>-6.2284166666666669</v>
      </c>
      <c r="AB61" s="33">
        <f t="shared" si="150"/>
        <v>-1</v>
      </c>
      <c r="AD61" s="23">
        <f>+_xlfn.XLOOKUP($B61,Revenue_FY25B!$B:$B,Revenue_FY25B!K:K,0)/1000</f>
        <v>6.2284166666666669</v>
      </c>
      <c r="AE61" s="25">
        <v>0</v>
      </c>
      <c r="AF61" s="8">
        <f t="shared" si="151"/>
        <v>-6.2284166666666669</v>
      </c>
      <c r="AG61" s="33">
        <f t="shared" si="152"/>
        <v>-1</v>
      </c>
      <c r="AI61" s="23">
        <f>+_xlfn.XLOOKUP($B61,Revenue_FY25B!$B:$B,Revenue_FY25B!L:L,0)/1000</f>
        <v>6.2284166666666669</v>
      </c>
      <c r="AJ61" s="25"/>
      <c r="AK61" s="8">
        <f t="shared" si="141"/>
        <v>-6.2284166666666669</v>
      </c>
      <c r="AL61" s="33">
        <f t="shared" si="142"/>
        <v>-1</v>
      </c>
      <c r="AN61" s="23">
        <f>+_xlfn.XLOOKUP($B61,Revenue_FY25B!$B:$B,Revenue_FY25B!M:M,0)/1000</f>
        <v>6.2284166666666669</v>
      </c>
      <c r="AO61" s="25"/>
      <c r="AP61" s="8">
        <f t="shared" si="153"/>
        <v>-6.2284166666666669</v>
      </c>
      <c r="AQ61" s="33">
        <f t="shared" si="154"/>
        <v>-1</v>
      </c>
      <c r="AS61" s="23">
        <f>+_xlfn.XLOOKUP($B61,Revenue_FY25B!$B:$B,Revenue_FY25B!N:N,0)/1000</f>
        <v>6.2284166666666669</v>
      </c>
      <c r="AT61" s="25"/>
      <c r="AU61" s="8">
        <f t="shared" si="155"/>
        <v>-6.2284166666666669</v>
      </c>
      <c r="AV61" s="33">
        <f t="shared" si="156"/>
        <v>-1</v>
      </c>
      <c r="AX61" s="23">
        <f>+_xlfn.XLOOKUP($B61,Revenue_FY25B!$B:$B,Revenue_FY25B!O:O,0)/1000</f>
        <v>6.2284166666666669</v>
      </c>
      <c r="AY61" s="25"/>
      <c r="AZ61" s="8">
        <f t="shared" si="157"/>
        <v>-6.2284166666666669</v>
      </c>
      <c r="BA61" s="33">
        <f t="shared" si="158"/>
        <v>-1</v>
      </c>
      <c r="BC61" s="23">
        <f>+_xlfn.XLOOKUP($B61,Revenue_FY25B!$B:$B,Revenue_FY25B!P:P,0)/1000</f>
        <v>6.2284166666666669</v>
      </c>
      <c r="BD61" s="25"/>
      <c r="BE61" s="8">
        <f t="shared" si="159"/>
        <v>-6.2284166666666669</v>
      </c>
      <c r="BF61" s="33">
        <f t="shared" si="160"/>
        <v>-1</v>
      </c>
      <c r="BH61" s="23">
        <f>+_xlfn.XLOOKUP($B61,Revenue_FY25B!$B:$B,Revenue_FY25B!Q:Q,0)/1000</f>
        <v>6.2284166666666669</v>
      </c>
      <c r="BI61" s="25"/>
      <c r="BJ61" s="8">
        <f t="shared" si="161"/>
        <v>-6.2284166666666669</v>
      </c>
      <c r="BK61" s="33">
        <f t="shared" si="162"/>
        <v>-1</v>
      </c>
      <c r="BM61" s="38">
        <f>Revenue_FY25B!D53/1000</f>
        <v>74.741</v>
      </c>
      <c r="BN61" s="38">
        <f>+F61+K61+P61+U61+Z61+AE61+AJ61+AO61+AT61+AY61+BD61+BI61</f>
        <v>0</v>
      </c>
      <c r="BO61" s="8">
        <f t="shared" si="164"/>
        <v>-74.741</v>
      </c>
      <c r="BP61" s="33">
        <f>IFERROR(BO61/BM61,"n.a.")</f>
        <v>-1</v>
      </c>
    </row>
    <row r="62" spans="2:68" s="5" customFormat="1" x14ac:dyDescent="0.25">
      <c r="C62" s="10" t="s">
        <v>26</v>
      </c>
      <c r="E62" s="26">
        <f>SUM(E58:E61)</f>
        <v>398.48067993589319</v>
      </c>
      <c r="F62" s="26">
        <f>SUM(F58:F61)</f>
        <v>446.86193903882946</v>
      </c>
      <c r="G62" s="26">
        <f t="shared" si="139"/>
        <v>48.381259102936269</v>
      </c>
      <c r="H62" s="34">
        <f t="shared" si="140"/>
        <v>0.12141431577239768</v>
      </c>
      <c r="J62" s="26">
        <f>SUM(J58:J61)</f>
        <v>393.58314527986579</v>
      </c>
      <c r="K62" s="26">
        <f>SUM(K58:K61)</f>
        <v>394.00535014001343</v>
      </c>
      <c r="L62" s="26">
        <f t="shared" si="143"/>
        <v>0.42220486014764447</v>
      </c>
      <c r="M62" s="34">
        <f t="shared" si="144"/>
        <v>1.0727208855639044E-3</v>
      </c>
      <c r="O62" s="26">
        <f>SUM(O58:O61)</f>
        <v>388.45260119603995</v>
      </c>
      <c r="P62" s="26">
        <f>SUM(P58:P61)</f>
        <v>424.22248021799999</v>
      </c>
      <c r="Q62" s="26">
        <f t="shared" si="145"/>
        <v>35.769879021960037</v>
      </c>
      <c r="R62" s="34">
        <f t="shared" si="146"/>
        <v>9.2082995227281514E-2</v>
      </c>
      <c r="T62" s="26">
        <f>SUM(T58:T61)</f>
        <v>396.62075520199676</v>
      </c>
      <c r="U62" s="26">
        <f>SUM(U58:U61)</f>
        <v>350.00736439999997</v>
      </c>
      <c r="V62" s="26">
        <f t="shared" si="147"/>
        <v>-46.613390801996786</v>
      </c>
      <c r="W62" s="34">
        <f t="shared" si="148"/>
        <v>-0.11752635279577552</v>
      </c>
      <c r="Y62" s="26">
        <f>SUM(Y58:Y61)</f>
        <v>368.1820144373288</v>
      </c>
      <c r="Z62" s="26">
        <f>SUM(Z58:Z61)</f>
        <v>275.89119038500002</v>
      </c>
      <c r="AA62" s="26">
        <f t="shared" si="149"/>
        <v>-92.290824052328787</v>
      </c>
      <c r="AB62" s="34">
        <f t="shared" si="150"/>
        <v>-0.2506663020826031</v>
      </c>
      <c r="AD62" s="26">
        <f>SUM(AD58:AD61)</f>
        <v>360.63725546369091</v>
      </c>
      <c r="AE62" s="26">
        <f>SUM(AE58:AE61)</f>
        <v>320.76767742999999</v>
      </c>
      <c r="AF62" s="26">
        <f t="shared" si="151"/>
        <v>-39.869578033690914</v>
      </c>
      <c r="AG62" s="34">
        <f t="shared" si="152"/>
        <v>-0.1105531317956278</v>
      </c>
      <c r="AI62" s="26">
        <f>SUM(AI58:AI61)</f>
        <v>323.51958851016661</v>
      </c>
      <c r="AJ62" s="26">
        <f>SUM(AJ58:AJ61)</f>
        <v>342.66579041418225</v>
      </c>
      <c r="AK62" s="26">
        <f t="shared" si="141"/>
        <v>19.146201904015641</v>
      </c>
      <c r="AL62" s="34">
        <f t="shared" si="142"/>
        <v>5.918096642056643E-2</v>
      </c>
      <c r="AN62" s="26">
        <f>SUM(AN58:AN61)</f>
        <v>298.92607169688506</v>
      </c>
      <c r="AO62" s="26">
        <f>SUM(AO58:AO61)</f>
        <v>307.74083456953099</v>
      </c>
      <c r="AP62" s="26">
        <f t="shared" si="153"/>
        <v>8.8147628726459288</v>
      </c>
      <c r="AQ62" s="34">
        <f t="shared" si="154"/>
        <v>2.9488103271180083E-2</v>
      </c>
      <c r="AS62" s="26">
        <f>SUM(AS58:AS61)</f>
        <v>346.8061712117364</v>
      </c>
      <c r="AT62" s="26">
        <f>SUM(AT58:AT61)</f>
        <v>375.44337273767547</v>
      </c>
      <c r="AU62" s="26">
        <f t="shared" si="155"/>
        <v>28.637201525939076</v>
      </c>
      <c r="AV62" s="34">
        <f t="shared" si="156"/>
        <v>8.2574082882899844E-2</v>
      </c>
      <c r="AX62" s="26">
        <f>SUM(AX58:AX61)</f>
        <v>324.64508446848566</v>
      </c>
      <c r="AY62" s="26">
        <f>SUM(AY58:AY61)</f>
        <v>305.31915641799992</v>
      </c>
      <c r="AZ62" s="26">
        <f t="shared" si="157"/>
        <v>-19.325928050485743</v>
      </c>
      <c r="BA62" s="34">
        <f t="shared" si="158"/>
        <v>-5.9529402954387786E-2</v>
      </c>
      <c r="BC62" s="26">
        <f>SUM(BC58:BC61)</f>
        <v>352.20088145875644</v>
      </c>
      <c r="BD62" s="26">
        <f>SUM(BD58:BD61)</f>
        <v>348.89965531399997</v>
      </c>
      <c r="BE62" s="26">
        <f t="shared" si="159"/>
        <v>-3.3012261447564697</v>
      </c>
      <c r="BF62" s="34">
        <f t="shared" si="160"/>
        <v>-9.3731342496456843E-3</v>
      </c>
      <c r="BH62" s="26">
        <f>SUM(BH58:BH61)</f>
        <v>351.3878503659684</v>
      </c>
      <c r="BI62" s="26">
        <f>SUM(BI58:BI61)</f>
        <v>351.54777356899996</v>
      </c>
      <c r="BJ62" s="26">
        <f t="shared" si="161"/>
        <v>0.15992320303155338</v>
      </c>
      <c r="BK62" s="34">
        <f t="shared" si="162"/>
        <v>4.5511876083647825E-4</v>
      </c>
      <c r="BM62" s="26">
        <f>SUM(BM58:BM61)</f>
        <v>4303.4409999999998</v>
      </c>
      <c r="BN62" s="26">
        <f>SUM(BN58:BN61)</f>
        <v>4243.3725846342322</v>
      </c>
      <c r="BO62" s="26">
        <f t="shared" si="164"/>
        <v>-60.068415365767578</v>
      </c>
      <c r="BP62" s="34">
        <f t="shared" si="165"/>
        <v>-1.3958229092897423E-2</v>
      </c>
    </row>
    <row r="63" spans="2:68" x14ac:dyDescent="0.25">
      <c r="B63">
        <f>+MAX($B$1:B62)+1</f>
        <v>34</v>
      </c>
      <c r="C63" s="15" t="s">
        <v>27</v>
      </c>
      <c r="E63" s="23">
        <f>+_xlfn.XLOOKUP($B63,Revenue_FY25B!$B:$B,Revenue_FY25B!F:F,0)/1000</f>
        <v>-4.96075</v>
      </c>
      <c r="F63" s="25">
        <v>-8.495252859999999</v>
      </c>
      <c r="G63" s="8">
        <f t="shared" si="139"/>
        <v>-3.534502859999999</v>
      </c>
      <c r="H63" s="33">
        <f t="shared" si="140"/>
        <v>0.7124936471299701</v>
      </c>
      <c r="J63" s="23">
        <f>+_xlfn.XLOOKUP($B63,Revenue_FY25B!$B:$B,Revenue_FY25B!G:G,0)/1000</f>
        <v>-4.96075</v>
      </c>
      <c r="K63" s="25">
        <v>-6.1276472300000009</v>
      </c>
      <c r="L63" s="8">
        <f t="shared" si="143"/>
        <v>-1.1668972300000009</v>
      </c>
      <c r="M63" s="33">
        <f t="shared" si="144"/>
        <v>0.23522596986342809</v>
      </c>
      <c r="O63" s="23">
        <f>+_xlfn.XLOOKUP($B63,Revenue_FY25B!$B:$B,Revenue_FY25B!H:H,0)/1000</f>
        <v>-4.96075</v>
      </c>
      <c r="P63" s="25">
        <v>-6.26824344</v>
      </c>
      <c r="Q63" s="8">
        <f t="shared" si="145"/>
        <v>-1.30749344</v>
      </c>
      <c r="R63" s="33">
        <f t="shared" si="146"/>
        <v>0.26356769440104821</v>
      </c>
      <c r="T63" s="23">
        <f>+_xlfn.XLOOKUP($B63,Revenue_FY25B!$B:$B,Revenue_FY25B!I:I,0)/1000</f>
        <v>-4.96075</v>
      </c>
      <c r="U63" s="25">
        <v>-9.3063333099999994</v>
      </c>
      <c r="V63" s="8">
        <f t="shared" si="147"/>
        <v>-4.3455833099999994</v>
      </c>
      <c r="W63" s="33">
        <f t="shared" si="148"/>
        <v>0.8759932086882023</v>
      </c>
      <c r="Y63" s="23">
        <f>+_xlfn.XLOOKUP($B63,Revenue_FY25B!$B:$B,Revenue_FY25B!J:J,0)/1000</f>
        <v>-4.96075</v>
      </c>
      <c r="Z63" s="25">
        <v>-6.7738683999999996</v>
      </c>
      <c r="AA63" s="8">
        <f t="shared" si="149"/>
        <v>-1.8131183999999996</v>
      </c>
      <c r="AB63" s="33">
        <f t="shared" si="150"/>
        <v>0.3654927984679735</v>
      </c>
      <c r="AD63" s="23">
        <f>+_xlfn.XLOOKUP($B63,Revenue_FY25B!$B:$B,Revenue_FY25B!K:K,0)/1000</f>
        <v>-4.96075</v>
      </c>
      <c r="AE63" s="25">
        <v>-5.88328936</v>
      </c>
      <c r="AF63" s="8">
        <f t="shared" si="151"/>
        <v>-0.92253936000000003</v>
      </c>
      <c r="AG63" s="33">
        <f t="shared" si="152"/>
        <v>0.18596771859093889</v>
      </c>
      <c r="AI63" s="23">
        <f>+_xlfn.XLOOKUP($B63,Revenue_FY25B!$B:$B,Revenue_FY25B!L:L,0)/1000</f>
        <v>-4.96075</v>
      </c>
      <c r="AJ63" s="25">
        <v>-245.88157218000001</v>
      </c>
      <c r="AK63" s="8">
        <f t="shared" si="141"/>
        <v>-240.92082218000002</v>
      </c>
      <c r="AL63" s="33">
        <f t="shared" si="142"/>
        <v>48.565402848359625</v>
      </c>
      <c r="AN63" s="23">
        <f>+_xlfn.XLOOKUP($B63,Revenue_FY25B!$B:$B,Revenue_FY25B!M:M,0)/1000</f>
        <v>-4.96075</v>
      </c>
      <c r="AO63" s="25">
        <v>-85.263134930000007</v>
      </c>
      <c r="AP63" s="8">
        <f t="shared" si="153"/>
        <v>-80.302384930000002</v>
      </c>
      <c r="AQ63" s="33">
        <f t="shared" si="154"/>
        <v>16.187549247593612</v>
      </c>
      <c r="AS63" s="23">
        <f>+_xlfn.XLOOKUP($B63,Revenue_FY25B!$B:$B,Revenue_FY25B!N:N,0)/1000</f>
        <v>-4.96075</v>
      </c>
      <c r="AT63" s="25">
        <v>-6.7474360600000001</v>
      </c>
      <c r="AU63" s="8">
        <f t="shared" si="155"/>
        <v>-1.7866860600000001</v>
      </c>
      <c r="AV63" s="33">
        <f t="shared" si="156"/>
        <v>0.36016450335130779</v>
      </c>
      <c r="AX63" s="23">
        <f>+_xlfn.XLOOKUP($B63,Revenue_FY25B!$B:$B,Revenue_FY25B!O:O,0)/1000</f>
        <v>-4.96075</v>
      </c>
      <c r="AY63" s="25">
        <v>-6.3353721500000004</v>
      </c>
      <c r="AZ63" s="8">
        <f t="shared" si="157"/>
        <v>-1.3746221500000004</v>
      </c>
      <c r="BA63" s="33">
        <f>IFERROR(AZ63/AX63,"n.a.")</f>
        <v>0.27709966234944322</v>
      </c>
      <c r="BC63" s="23">
        <f>+_xlfn.XLOOKUP($B63,Revenue_FY25B!$B:$B,Revenue_FY25B!P:P,0)/1000</f>
        <v>-4.96075</v>
      </c>
      <c r="BD63" s="25">
        <v>-6.2305622699999992</v>
      </c>
      <c r="BE63" s="8">
        <f t="shared" si="159"/>
        <v>-1.2698122699999992</v>
      </c>
      <c r="BF63" s="33">
        <f t="shared" si="160"/>
        <v>0.25597183288817199</v>
      </c>
      <c r="BH63" s="23">
        <f>+_xlfn.XLOOKUP($B63,Revenue_FY25B!$B:$B,Revenue_FY25B!Q:Q,0)/1000</f>
        <v>-4.96075</v>
      </c>
      <c r="BI63" s="25">
        <v>-5.6662296899999998</v>
      </c>
      <c r="BJ63" s="8">
        <f t="shared" si="161"/>
        <v>-0.70547968999999977</v>
      </c>
      <c r="BK63" s="33">
        <f t="shared" si="162"/>
        <v>0.14221230459103962</v>
      </c>
      <c r="BM63" s="38">
        <f>Revenue_FY25B!D55/1000</f>
        <v>-59.529000000000003</v>
      </c>
      <c r="BN63" s="38">
        <f>+F63+K63+P63+U63+Z63+AE63+AJ63+AO63+AT63+AY63+BD63+BI63</f>
        <v>-398.97894187999998</v>
      </c>
      <c r="BO63" s="8">
        <f t="shared" si="164"/>
        <v>-339.44994187999998</v>
      </c>
      <c r="BP63" s="33">
        <f t="shared" si="165"/>
        <v>5.702261786356229</v>
      </c>
    </row>
    <row r="64" spans="2:68" x14ac:dyDescent="0.25">
      <c r="B64">
        <v>35</v>
      </c>
      <c r="C64" s="15" t="s">
        <v>101</v>
      </c>
      <c r="E64" s="23">
        <f>+_xlfn.XLOOKUP($B64,Revenue_FY25B!$B:$B,Revenue_FY25B!F:F,0)/1000</f>
        <v>-2.2875000000000001</v>
      </c>
      <c r="F64" s="25">
        <v>0.17720730000000001</v>
      </c>
      <c r="G64" s="8">
        <f t="shared" si="139"/>
        <v>2.4647073000000002</v>
      </c>
      <c r="H64" s="33">
        <f t="shared" si="140"/>
        <v>-1.0774676721311476</v>
      </c>
      <c r="J64" s="23">
        <f>+_xlfn.XLOOKUP($B64,Revenue_FY25B!$B:$B,Revenue_FY25B!G:G,0)/1000</f>
        <v>-2.2875000000000001</v>
      </c>
      <c r="K64" s="25">
        <v>-0.44013121999999999</v>
      </c>
      <c r="L64" s="8">
        <f t="shared" si="143"/>
        <v>1.84736878</v>
      </c>
      <c r="M64" s="33">
        <f t="shared" si="144"/>
        <v>-0.80759290928961747</v>
      </c>
      <c r="O64" s="23">
        <f>+_xlfn.XLOOKUP($B64,Revenue_FY25B!$B:$B,Revenue_FY25B!H:H,0)/1000</f>
        <v>-2.2875000000000001</v>
      </c>
      <c r="P64" s="25">
        <v>-0.19162116000000001</v>
      </c>
      <c r="Q64" s="8">
        <f t="shared" si="145"/>
        <v>2.0958788400000001</v>
      </c>
      <c r="R64" s="33">
        <f t="shared" si="146"/>
        <v>-0.91623118688524596</v>
      </c>
      <c r="T64" s="23">
        <f>+_xlfn.XLOOKUP($B64,Revenue_FY25B!$B:$B,Revenue_FY25B!I:I,0)/1000</f>
        <v>-2.2875000000000001</v>
      </c>
      <c r="U64" s="25">
        <v>-1.0290809999999989E-2</v>
      </c>
      <c r="V64" s="8">
        <f t="shared" si="147"/>
        <v>2.2772091900000002</v>
      </c>
      <c r="W64" s="33">
        <f t="shared" si="148"/>
        <v>-0.99550128524590165</v>
      </c>
      <c r="Y64" s="23">
        <f>+_xlfn.XLOOKUP($B64,Revenue_FY25B!$B:$B,Revenue_FY25B!J:J,0)/1000</f>
        <v>-2.2875000000000001</v>
      </c>
      <c r="Z64" s="25">
        <v>-0.35633725999999999</v>
      </c>
      <c r="AA64" s="8">
        <f t="shared" si="149"/>
        <v>1.93116274</v>
      </c>
      <c r="AB64" s="33">
        <f t="shared" si="150"/>
        <v>-0.84422414863387973</v>
      </c>
      <c r="AD64" s="23">
        <f>+_xlfn.XLOOKUP($B64,Revenue_FY25B!$B:$B,Revenue_FY25B!K:K,0)/1000</f>
        <v>-2.2875000000000001</v>
      </c>
      <c r="AE64" s="25">
        <v>-0.22403979999999998</v>
      </c>
      <c r="AF64" s="8">
        <f t="shared" si="151"/>
        <v>2.0634602000000002</v>
      </c>
      <c r="AG64" s="33">
        <f t="shared" si="152"/>
        <v>-0.90205910382513665</v>
      </c>
      <c r="AI64" s="23">
        <f>+_xlfn.XLOOKUP($B64,Revenue_FY25B!$B:$B,Revenue_FY25B!L:L,0)/1000</f>
        <v>-2.2875000000000001</v>
      </c>
      <c r="AJ64" s="25">
        <v>-0.66878199999999999</v>
      </c>
      <c r="AK64" s="8">
        <f t="shared" si="141"/>
        <v>1.6187180000000001</v>
      </c>
      <c r="AL64" s="33">
        <f t="shared" si="142"/>
        <v>-0.7076362841530055</v>
      </c>
      <c r="AN64" s="23">
        <f>+_xlfn.XLOOKUP($B64,Revenue_FY25B!$B:$B,Revenue_FY25B!M:M,0)/1000</f>
        <v>-2.2875000000000001</v>
      </c>
      <c r="AO64" s="25">
        <v>-0.34298660999999991</v>
      </c>
      <c r="AP64" s="8">
        <f t="shared" si="153"/>
        <v>1.9445133900000002</v>
      </c>
      <c r="AQ64" s="33">
        <f t="shared" si="154"/>
        <v>-0.85006049836065578</v>
      </c>
      <c r="AS64" s="23">
        <f>+_xlfn.XLOOKUP($B64,Revenue_FY25B!$B:$B,Revenue_FY25B!N:N,0)/1000</f>
        <v>-2.2875000000000001</v>
      </c>
      <c r="AT64" s="25">
        <v>0.19525196999999997</v>
      </c>
      <c r="AU64" s="8">
        <f t="shared" si="155"/>
        <v>2.4827519700000003</v>
      </c>
      <c r="AV64" s="33">
        <f t="shared" si="156"/>
        <v>-1.0853560524590165</v>
      </c>
      <c r="AX64" s="23">
        <f>+_xlfn.XLOOKUP($B64,Revenue_FY25B!$B:$B,Revenue_FY25B!O:O,0)/1000</f>
        <v>-2.2875000000000001</v>
      </c>
      <c r="AY64" s="25">
        <v>-0.42114683000000003</v>
      </c>
      <c r="AZ64" s="8">
        <f t="shared" si="157"/>
        <v>1.86635317</v>
      </c>
      <c r="BA64" s="33">
        <f t="shared" ref="BA64:BA68" si="166">IFERROR(AZ64/AX64,"n.a.")</f>
        <v>-0.81589209617486336</v>
      </c>
      <c r="BC64" s="23">
        <f>+_xlfn.XLOOKUP($B64,Revenue_FY25B!$B:$B,Revenue_FY25B!P:P,0)/1000</f>
        <v>-2.2875000000000001</v>
      </c>
      <c r="BD64" s="25">
        <v>-4.4445299999999986E-2</v>
      </c>
      <c r="BE64" s="8">
        <f t="shared" si="159"/>
        <v>2.2430547000000001</v>
      </c>
      <c r="BF64" s="33">
        <f t="shared" si="160"/>
        <v>-0.98057036065573766</v>
      </c>
      <c r="BH64" s="23">
        <f>+_xlfn.XLOOKUP($B64,Revenue_FY25B!$B:$B,Revenue_FY25B!Q:Q,0)/1000</f>
        <v>-2.2875000000000001</v>
      </c>
      <c r="BI64" s="25">
        <v>-1.2148319699999997</v>
      </c>
      <c r="BJ64" s="8">
        <f t="shared" si="161"/>
        <v>1.0726680300000004</v>
      </c>
      <c r="BK64" s="33">
        <f t="shared" si="162"/>
        <v>-0.46892591475409856</v>
      </c>
      <c r="BM64" s="38">
        <f>Revenue_FY25B!D56/1000</f>
        <v>-27.45</v>
      </c>
      <c r="BN64" s="38">
        <f>+F64+K64+P64+U64+Z64+AE64+AJ64+AO64+AT64+AY64+BD64+BI64</f>
        <v>-3.5421536899999992</v>
      </c>
      <c r="BO64" s="8">
        <f t="shared" si="164"/>
        <v>23.90784631</v>
      </c>
      <c r="BP64" s="33">
        <f t="shared" si="165"/>
        <v>-0.87095979271402557</v>
      </c>
    </row>
    <row r="65" spans="1:68" x14ac:dyDescent="0.25">
      <c r="B65">
        <v>36</v>
      </c>
      <c r="C65" s="15" t="s">
        <v>102</v>
      </c>
      <c r="E65" s="23">
        <f>+_xlfn.XLOOKUP($B65,Revenue_FY25B!$B:$B,Revenue_FY25B!F:F,0)/1000</f>
        <v>-2.4140000000000001</v>
      </c>
      <c r="F65" s="25"/>
      <c r="G65" s="8">
        <f t="shared" si="139"/>
        <v>2.4140000000000001</v>
      </c>
      <c r="H65" s="33">
        <f t="shared" si="140"/>
        <v>-1</v>
      </c>
      <c r="J65" s="23">
        <f>+_xlfn.XLOOKUP($B65,Revenue_FY25B!$B:$B,Revenue_FY25B!G:G,0)/1000</f>
        <v>-2.4140000000000001</v>
      </c>
      <c r="K65" s="25"/>
      <c r="L65" s="8">
        <f t="shared" si="143"/>
        <v>2.4140000000000001</v>
      </c>
      <c r="M65" s="33">
        <f t="shared" si="144"/>
        <v>-1</v>
      </c>
      <c r="O65" s="23">
        <f>+_xlfn.XLOOKUP($B65,Revenue_FY25B!$B:$B,Revenue_FY25B!H:H,0)/1000</f>
        <v>-2.4140000000000001</v>
      </c>
      <c r="P65" s="25"/>
      <c r="Q65" s="8">
        <f t="shared" si="145"/>
        <v>2.4140000000000001</v>
      </c>
      <c r="R65" s="33">
        <f t="shared" si="146"/>
        <v>-1</v>
      </c>
      <c r="T65" s="23">
        <f>+_xlfn.XLOOKUP($B65,Revenue_FY25B!$B:$B,Revenue_FY25B!I:I,0)/1000</f>
        <v>-2.4140000000000001</v>
      </c>
      <c r="U65" s="25"/>
      <c r="V65" s="8">
        <f t="shared" si="147"/>
        <v>2.4140000000000001</v>
      </c>
      <c r="W65" s="33">
        <f t="shared" si="148"/>
        <v>-1</v>
      </c>
      <c r="Y65" s="23">
        <f>+_xlfn.XLOOKUP($B65,Revenue_FY25B!$B:$B,Revenue_FY25B!J:J,0)/1000</f>
        <v>-2.4140000000000001</v>
      </c>
      <c r="Z65" s="25"/>
      <c r="AA65" s="8">
        <f t="shared" si="149"/>
        <v>2.4140000000000001</v>
      </c>
      <c r="AB65" s="33">
        <f t="shared" si="150"/>
        <v>-1</v>
      </c>
      <c r="AD65" s="23">
        <f>+_xlfn.XLOOKUP($B65,Revenue_FY25B!$B:$B,Revenue_FY25B!K:K,0)/1000</f>
        <v>-2.4140000000000001</v>
      </c>
      <c r="AE65" s="25"/>
      <c r="AF65" s="8">
        <f t="shared" si="151"/>
        <v>2.4140000000000001</v>
      </c>
      <c r="AG65" s="33">
        <f t="shared" si="152"/>
        <v>-1</v>
      </c>
      <c r="AI65" s="23">
        <f>+_xlfn.XLOOKUP($B65,Revenue_FY25B!$B:$B,Revenue_FY25B!L:L,0)/1000</f>
        <v>-2.4140000000000001</v>
      </c>
      <c r="AJ65" s="25"/>
      <c r="AK65" s="8">
        <f t="shared" si="141"/>
        <v>2.4140000000000001</v>
      </c>
      <c r="AL65" s="33">
        <f t="shared" si="142"/>
        <v>-1</v>
      </c>
      <c r="AN65" s="23">
        <f>+_xlfn.XLOOKUP($B65,Revenue_FY25B!$B:$B,Revenue_FY25B!M:M,0)/1000</f>
        <v>-2.4140000000000001</v>
      </c>
      <c r="AO65" s="25"/>
      <c r="AP65" s="8">
        <f t="shared" si="153"/>
        <v>2.4140000000000001</v>
      </c>
      <c r="AQ65" s="33">
        <f t="shared" si="154"/>
        <v>-1</v>
      </c>
      <c r="AS65" s="23">
        <f>+_xlfn.XLOOKUP($B65,Revenue_FY25B!$B:$B,Revenue_FY25B!N:N,0)/1000</f>
        <v>-2.4140000000000001</v>
      </c>
      <c r="AT65" s="25"/>
      <c r="AU65" s="8">
        <f t="shared" si="155"/>
        <v>2.4140000000000001</v>
      </c>
      <c r="AV65" s="33">
        <f t="shared" si="156"/>
        <v>-1</v>
      </c>
      <c r="AX65" s="23">
        <f>+_xlfn.XLOOKUP($B65,Revenue_FY25B!$B:$B,Revenue_FY25B!O:O,0)/1000</f>
        <v>-2.4140000000000001</v>
      </c>
      <c r="AY65" s="25"/>
      <c r="AZ65" s="8">
        <f t="shared" si="157"/>
        <v>2.4140000000000001</v>
      </c>
      <c r="BA65" s="33">
        <f t="shared" si="166"/>
        <v>-1</v>
      </c>
      <c r="BC65" s="23">
        <f>+_xlfn.XLOOKUP($B65,Revenue_FY25B!$B:$B,Revenue_FY25B!P:P,0)/1000</f>
        <v>-2.4140000000000001</v>
      </c>
      <c r="BD65" s="25"/>
      <c r="BE65" s="8">
        <f t="shared" si="159"/>
        <v>2.4140000000000001</v>
      </c>
      <c r="BF65" s="33">
        <f t="shared" si="160"/>
        <v>-1</v>
      </c>
      <c r="BH65" s="23">
        <f>+_xlfn.XLOOKUP($B65,Revenue_FY25B!$B:$B,Revenue_FY25B!Q:Q,0)/1000</f>
        <v>-2.4140000000000001</v>
      </c>
      <c r="BI65" s="25"/>
      <c r="BJ65" s="8">
        <f t="shared" si="161"/>
        <v>2.4140000000000001</v>
      </c>
      <c r="BK65" s="33">
        <f t="shared" si="162"/>
        <v>-1</v>
      </c>
      <c r="BM65" s="38">
        <f>Revenue_FY25B!D57/1000</f>
        <v>-28.968</v>
      </c>
      <c r="BN65" s="38">
        <f t="shared" ref="BN65:BN68" si="167">+F65+K65+P65+U65+Z65+AE65+AJ65+AO65+AT65+AY65+BD65+BI65</f>
        <v>0</v>
      </c>
      <c r="BO65" s="8">
        <f t="shared" si="164"/>
        <v>28.968</v>
      </c>
      <c r="BP65" s="33">
        <f t="shared" si="165"/>
        <v>-1</v>
      </c>
    </row>
    <row r="66" spans="1:68" x14ac:dyDescent="0.25">
      <c r="B66">
        <v>37</v>
      </c>
      <c r="C66" s="15" t="s">
        <v>196</v>
      </c>
      <c r="E66" s="23">
        <f>+_xlfn.XLOOKUP($B66,Revenue_FY25B!$B:$B,Revenue_FY25B!F:F,0)/1000</f>
        <v>-2.0270833333333331</v>
      </c>
      <c r="F66" s="25"/>
      <c r="G66" s="8">
        <f t="shared" si="139"/>
        <v>2.0270833333333331</v>
      </c>
      <c r="H66" s="33">
        <f t="shared" si="140"/>
        <v>-1</v>
      </c>
      <c r="J66" s="23">
        <f>+_xlfn.XLOOKUP($B66,Revenue_FY25B!$B:$B,Revenue_FY25B!G:G,0)/1000</f>
        <v>-2.0270833333333331</v>
      </c>
      <c r="K66" s="25"/>
      <c r="L66" s="8">
        <f t="shared" si="143"/>
        <v>2.0270833333333331</v>
      </c>
      <c r="M66" s="33">
        <f t="shared" si="144"/>
        <v>-1</v>
      </c>
      <c r="O66" s="23">
        <f>+_xlfn.XLOOKUP($B66,Revenue_FY25B!$B:$B,Revenue_FY25B!H:H,0)/1000</f>
        <v>-2.0270833333333331</v>
      </c>
      <c r="P66" s="25"/>
      <c r="Q66" s="8">
        <f t="shared" si="145"/>
        <v>2.0270833333333331</v>
      </c>
      <c r="R66" s="33">
        <f t="shared" si="146"/>
        <v>-1</v>
      </c>
      <c r="T66" s="23">
        <f>+_xlfn.XLOOKUP($B66,Revenue_FY25B!$B:$B,Revenue_FY25B!I:I,0)/1000</f>
        <v>-2.0270833333333331</v>
      </c>
      <c r="U66" s="25"/>
      <c r="V66" s="8">
        <f t="shared" si="147"/>
        <v>2.0270833333333331</v>
      </c>
      <c r="W66" s="33">
        <f t="shared" si="148"/>
        <v>-1</v>
      </c>
      <c r="Y66" s="23">
        <f>+_xlfn.XLOOKUP($B66,Revenue_FY25B!$B:$B,Revenue_FY25B!J:J,0)/1000</f>
        <v>-2.0270833333333331</v>
      </c>
      <c r="Z66" s="25"/>
      <c r="AA66" s="8">
        <f t="shared" si="149"/>
        <v>2.0270833333333331</v>
      </c>
      <c r="AB66" s="33">
        <f t="shared" si="150"/>
        <v>-1</v>
      </c>
      <c r="AD66" s="23">
        <f>+_xlfn.XLOOKUP($B66,Revenue_FY25B!$B:$B,Revenue_FY25B!K:K,0)/1000</f>
        <v>-2.0270833333333331</v>
      </c>
      <c r="AE66" s="25"/>
      <c r="AF66" s="8">
        <f t="shared" si="151"/>
        <v>2.0270833333333331</v>
      </c>
      <c r="AG66" s="33">
        <f t="shared" si="152"/>
        <v>-1</v>
      </c>
      <c r="AI66" s="23">
        <f>+_xlfn.XLOOKUP($B66,Revenue_FY25B!$B:$B,Revenue_FY25B!L:L,0)/1000</f>
        <v>-2.0270833333333331</v>
      </c>
      <c r="AJ66" s="25"/>
      <c r="AK66" s="8">
        <f t="shared" si="141"/>
        <v>2.0270833333333331</v>
      </c>
      <c r="AL66" s="33">
        <f t="shared" si="142"/>
        <v>-1</v>
      </c>
      <c r="AN66" s="23">
        <f>+_xlfn.XLOOKUP($B66,Revenue_FY25B!$B:$B,Revenue_FY25B!M:M,0)/1000</f>
        <v>-2.0270833333333331</v>
      </c>
      <c r="AO66" s="25"/>
      <c r="AP66" s="8">
        <f t="shared" si="153"/>
        <v>2.0270833333333331</v>
      </c>
      <c r="AQ66" s="33">
        <f t="shared" si="154"/>
        <v>-1</v>
      </c>
      <c r="AS66" s="23">
        <f>+_xlfn.XLOOKUP($B66,Revenue_FY25B!$B:$B,Revenue_FY25B!N:N,0)/1000</f>
        <v>-2.0270833333333331</v>
      </c>
      <c r="AT66" s="25"/>
      <c r="AU66" s="8">
        <f t="shared" si="155"/>
        <v>2.0270833333333331</v>
      </c>
      <c r="AV66" s="33">
        <f t="shared" si="156"/>
        <v>-1</v>
      </c>
      <c r="AX66" s="23">
        <f>+_xlfn.XLOOKUP($B66,Revenue_FY25B!$B:$B,Revenue_FY25B!O:O,0)/1000</f>
        <v>-2.0270833333333331</v>
      </c>
      <c r="AY66" s="25"/>
      <c r="AZ66" s="8">
        <f t="shared" si="157"/>
        <v>2.0270833333333331</v>
      </c>
      <c r="BA66" s="33">
        <f t="shared" si="166"/>
        <v>-1</v>
      </c>
      <c r="BC66" s="23">
        <f>+_xlfn.XLOOKUP($B66,Revenue_FY25B!$B:$B,Revenue_FY25B!P:P,0)/1000</f>
        <v>-2.0270833333333331</v>
      </c>
      <c r="BD66" s="25"/>
      <c r="BE66" s="8">
        <f t="shared" si="159"/>
        <v>2.0270833333333331</v>
      </c>
      <c r="BF66" s="33">
        <f t="shared" si="160"/>
        <v>-1</v>
      </c>
      <c r="BH66" s="23">
        <f>+_xlfn.XLOOKUP($B66,Revenue_FY25B!$B:$B,Revenue_FY25B!Q:Q,0)/1000</f>
        <v>-2.0270833333333331</v>
      </c>
      <c r="BI66" s="25"/>
      <c r="BJ66" s="8">
        <f t="shared" si="161"/>
        <v>2.0270833333333331</v>
      </c>
      <c r="BK66" s="33">
        <f t="shared" si="162"/>
        <v>-1</v>
      </c>
      <c r="BM66" s="38">
        <f>Revenue_FY25B!D58/1000</f>
        <v>-24.324999999999999</v>
      </c>
      <c r="BN66" s="38">
        <f t="shared" si="167"/>
        <v>0</v>
      </c>
      <c r="BO66" s="8">
        <f t="shared" si="164"/>
        <v>24.324999999999999</v>
      </c>
      <c r="BP66" s="33">
        <f t="shared" si="165"/>
        <v>-1</v>
      </c>
    </row>
    <row r="67" spans="1:68" x14ac:dyDescent="0.25">
      <c r="B67">
        <v>38</v>
      </c>
      <c r="C67" s="15" t="s">
        <v>197</v>
      </c>
      <c r="E67" s="23">
        <f>+_xlfn.XLOOKUP($B67,Revenue_FY25B!$B:$B,Revenue_FY25B!F:F,0)/1000</f>
        <v>-11.228</v>
      </c>
      <c r="F67" s="25">
        <v>-11.22792241</v>
      </c>
      <c r="G67" s="8">
        <f t="shared" si="139"/>
        <v>7.7590000000071768E-5</v>
      </c>
      <c r="H67" s="33">
        <f t="shared" si="140"/>
        <v>-6.9104025650224233E-6</v>
      </c>
      <c r="J67" s="23">
        <f>+_xlfn.XLOOKUP($B67,Revenue_FY25B!$B:$B,Revenue_FY25B!G:G,0)/1000</f>
        <v>-11.228</v>
      </c>
      <c r="K67" s="25">
        <v>-11.22792241</v>
      </c>
      <c r="L67" s="8">
        <f t="shared" si="143"/>
        <v>7.7590000000071768E-5</v>
      </c>
      <c r="M67" s="33">
        <f t="shared" si="144"/>
        <v>-6.9104025650224233E-6</v>
      </c>
      <c r="O67" s="23">
        <f>+_xlfn.XLOOKUP($B67,Revenue_FY25B!$B:$B,Revenue_FY25B!H:H,0)/1000</f>
        <v>-11.228</v>
      </c>
      <c r="P67" s="25">
        <v>-11.22792241</v>
      </c>
      <c r="Q67" s="8">
        <f t="shared" si="145"/>
        <v>7.7590000000071768E-5</v>
      </c>
      <c r="R67" s="33">
        <f t="shared" si="146"/>
        <v>-6.9104025650224233E-6</v>
      </c>
      <c r="T67" s="23">
        <f>+_xlfn.XLOOKUP($B67,Revenue_FY25B!$B:$B,Revenue_FY25B!I:I,0)/1000</f>
        <v>-11.228</v>
      </c>
      <c r="U67" s="25">
        <v>-11.22792241</v>
      </c>
      <c r="V67" s="8">
        <f t="shared" si="147"/>
        <v>7.7590000000071768E-5</v>
      </c>
      <c r="W67" s="33">
        <f t="shared" si="148"/>
        <v>-6.9104025650224233E-6</v>
      </c>
      <c r="Y67" s="23">
        <f>+_xlfn.XLOOKUP($B67,Revenue_FY25B!$B:$B,Revenue_FY25B!J:J,0)/1000</f>
        <v>-11.228</v>
      </c>
      <c r="Z67" s="25">
        <v>-11.22792241</v>
      </c>
      <c r="AA67" s="8">
        <f t="shared" si="149"/>
        <v>7.7590000000071768E-5</v>
      </c>
      <c r="AB67" s="33">
        <f t="shared" si="150"/>
        <v>-6.9104025650224233E-6</v>
      </c>
      <c r="AD67" s="23">
        <f>+_xlfn.XLOOKUP($B67,Revenue_FY25B!$B:$B,Revenue_FY25B!K:K,0)/1000</f>
        <v>-11.228</v>
      </c>
      <c r="AE67" s="25">
        <v>-11.22792241</v>
      </c>
      <c r="AF67" s="8">
        <f t="shared" si="151"/>
        <v>7.7590000000071768E-5</v>
      </c>
      <c r="AG67" s="33">
        <f>IFERROR(AF67/AD67,"n.a.")</f>
        <v>-6.9104025650224233E-6</v>
      </c>
      <c r="AI67" s="23">
        <f>+_xlfn.XLOOKUP($B67,Revenue_FY25B!$B:$B,Revenue_FY25B!L:L,0)/1000</f>
        <v>-11.228</v>
      </c>
      <c r="AJ67" s="25">
        <v>-11.22792241</v>
      </c>
      <c r="AK67" s="8">
        <f t="shared" si="141"/>
        <v>7.7590000000071768E-5</v>
      </c>
      <c r="AL67" s="33">
        <f t="shared" si="142"/>
        <v>-6.9104025650224233E-6</v>
      </c>
      <c r="AN67" s="23">
        <f>+_xlfn.XLOOKUP($B67,Revenue_FY25B!$B:$B,Revenue_FY25B!M:M,0)/1000</f>
        <v>-11.228</v>
      </c>
      <c r="AO67" s="25">
        <v>-11.22792241</v>
      </c>
      <c r="AP67" s="8">
        <f t="shared" si="153"/>
        <v>7.7590000000071768E-5</v>
      </c>
      <c r="AQ67" s="33">
        <f t="shared" si="154"/>
        <v>-6.9104025650224233E-6</v>
      </c>
      <c r="AS67" s="23">
        <f>+_xlfn.XLOOKUP($B67,Revenue_FY25B!$B:$B,Revenue_FY25B!N:N,0)/1000</f>
        <v>-11.228</v>
      </c>
      <c r="AT67" s="25">
        <v>-11.22792241</v>
      </c>
      <c r="AU67" s="8">
        <f t="shared" si="155"/>
        <v>7.7590000000071768E-5</v>
      </c>
      <c r="AV67" s="33">
        <f t="shared" si="156"/>
        <v>-6.9104025650224233E-6</v>
      </c>
      <c r="AX67" s="23">
        <f>+_xlfn.XLOOKUP($B67,Revenue_FY25B!$B:$B,Revenue_FY25B!O:O,0)/1000</f>
        <v>-11.228</v>
      </c>
      <c r="AY67" s="25">
        <v>-11.22792241</v>
      </c>
      <c r="AZ67" s="8">
        <f t="shared" si="157"/>
        <v>7.7590000000071768E-5</v>
      </c>
      <c r="BA67" s="33">
        <f t="shared" si="166"/>
        <v>-6.9104025650224233E-6</v>
      </c>
      <c r="BC67" s="23">
        <f>+_xlfn.XLOOKUP($B67,Revenue_FY25B!$B:$B,Revenue_FY25B!P:P,0)/1000</f>
        <v>-11.228</v>
      </c>
      <c r="BD67" s="25">
        <v>-11.22792241</v>
      </c>
      <c r="BE67" s="8">
        <f t="shared" si="159"/>
        <v>7.7590000000071768E-5</v>
      </c>
      <c r="BF67" s="33">
        <f t="shared" si="160"/>
        <v>-6.9104025650224233E-6</v>
      </c>
      <c r="BH67" s="23">
        <f>+_xlfn.XLOOKUP($B67,Revenue_FY25B!$B:$B,Revenue_FY25B!Q:Q,0)/1000</f>
        <v>-11.228</v>
      </c>
      <c r="BI67" s="25">
        <v>-11.22792241</v>
      </c>
      <c r="BJ67" s="8">
        <f t="shared" si="161"/>
        <v>7.7590000000071768E-5</v>
      </c>
      <c r="BK67" s="33">
        <f t="shared" si="162"/>
        <v>-6.9104025650224233E-6</v>
      </c>
      <c r="BM67" s="38">
        <f>Revenue_FY25B!D59/1000</f>
        <v>-134.73599999999999</v>
      </c>
      <c r="BN67" s="38">
        <f t="shared" si="167"/>
        <v>-134.73506892000003</v>
      </c>
      <c r="BO67" s="8">
        <f t="shared" si="164"/>
        <v>9.3107999995822865E-4</v>
      </c>
      <c r="BP67" s="33">
        <f t="shared" si="165"/>
        <v>-6.9104025647060082E-6</v>
      </c>
    </row>
    <row r="68" spans="1:68" x14ac:dyDescent="0.25">
      <c r="B68">
        <v>39</v>
      </c>
      <c r="C68" s="15" t="s">
        <v>28</v>
      </c>
      <c r="E68" s="23">
        <f>+_xlfn.XLOOKUP($B68,Revenue_FY25B!$B:$B,Revenue_FY25B!F:F,0)/1000</f>
        <v>-25.916166666666669</v>
      </c>
      <c r="F68" s="25">
        <v>-22.305773370000001</v>
      </c>
      <c r="G68" s="8">
        <f t="shared" si="139"/>
        <v>3.6103932966666683</v>
      </c>
      <c r="H68" s="33">
        <f t="shared" si="140"/>
        <v>-0.13931046759744567</v>
      </c>
      <c r="J68" s="23">
        <f>+_xlfn.XLOOKUP($B68,Revenue_FY25B!$B:$B,Revenue_FY25B!G:G,0)/1000</f>
        <v>-25.916166666666669</v>
      </c>
      <c r="K68" s="25">
        <v>-32.41301524</v>
      </c>
      <c r="L68" s="8">
        <f t="shared" si="143"/>
        <v>-6.496848573333331</v>
      </c>
      <c r="M68" s="33">
        <f t="shared" si="144"/>
        <v>0.25068709647131443</v>
      </c>
      <c r="O68" s="23">
        <f>+_xlfn.XLOOKUP($B68,Revenue_FY25B!$B:$B,Revenue_FY25B!H:H,0)/1000</f>
        <v>-25.916166666666669</v>
      </c>
      <c r="P68" s="25">
        <v>-21.283133289999999</v>
      </c>
      <c r="Q68" s="8">
        <f t="shared" si="145"/>
        <v>4.6330333766666705</v>
      </c>
      <c r="R68" s="33">
        <f t="shared" si="146"/>
        <v>-0.17877001009665794</v>
      </c>
      <c r="T68" s="23">
        <f>+_xlfn.XLOOKUP($B68,Revenue_FY25B!$B:$B,Revenue_FY25B!I:I,0)/1000</f>
        <v>-25.916166666666669</v>
      </c>
      <c r="U68" s="25">
        <v>-23.34020173</v>
      </c>
      <c r="V68" s="8">
        <f t="shared" si="147"/>
        <v>2.5759649366666686</v>
      </c>
      <c r="W68" s="33">
        <f t="shared" si="148"/>
        <v>-9.9396063075171931E-2</v>
      </c>
      <c r="Y68" s="23">
        <f>+_xlfn.XLOOKUP($B68,Revenue_FY25B!$B:$B,Revenue_FY25B!J:J,0)/1000</f>
        <v>-25.916166666666669</v>
      </c>
      <c r="Z68" s="25">
        <v>-22.849594039999999</v>
      </c>
      <c r="AA68" s="8">
        <f t="shared" si="149"/>
        <v>3.0665726266666695</v>
      </c>
      <c r="AB68" s="33">
        <f t="shared" si="150"/>
        <v>-0.11832662855231944</v>
      </c>
      <c r="AD68" s="23">
        <f>+_xlfn.XLOOKUP($B68,Revenue_FY25B!$B:$B,Revenue_FY25B!K:K,0)/1000</f>
        <v>-25.916166666666669</v>
      </c>
      <c r="AE68" s="25">
        <v>-26.756508059999998</v>
      </c>
      <c r="AF68" s="8">
        <f t="shared" si="151"/>
        <v>-0.84034139333332902</v>
      </c>
      <c r="AG68" s="33">
        <f>IFERROR(AF68/AD68,"n.a.")</f>
        <v>3.2425373865733575E-2</v>
      </c>
      <c r="AI68" s="23">
        <f>+_xlfn.XLOOKUP($B68,Revenue_FY25B!$B:$B,Revenue_FY25B!L:L,0)/1000</f>
        <v>-25.916166666666669</v>
      </c>
      <c r="AJ68" s="25">
        <v>-34.42928285</v>
      </c>
      <c r="AK68" s="8">
        <f t="shared" si="141"/>
        <v>-8.5131161833333309</v>
      </c>
      <c r="AL68" s="33">
        <f t="shared" si="142"/>
        <v>0.32848670456664747</v>
      </c>
      <c r="AN68" s="23">
        <f>+_xlfn.XLOOKUP($B68,Revenue_FY25B!$B:$B,Revenue_FY25B!M:M,0)/1000</f>
        <v>-25.916166666666669</v>
      </c>
      <c r="AO68" s="25">
        <v>-23.94977561</v>
      </c>
      <c r="AP68" s="8">
        <f t="shared" si="153"/>
        <v>1.9663910566666694</v>
      </c>
      <c r="AQ68" s="33">
        <f t="shared" si="154"/>
        <v>-7.5875073731326098E-2</v>
      </c>
      <c r="AS68" s="23">
        <f>+_xlfn.XLOOKUP($B68,Revenue_FY25B!$B:$B,Revenue_FY25B!N:N,0)/1000</f>
        <v>-25.916166666666669</v>
      </c>
      <c r="AT68" s="25">
        <v>-24.019746309999999</v>
      </c>
      <c r="AU68" s="8">
        <f t="shared" si="155"/>
        <v>1.8964203566666704</v>
      </c>
      <c r="AV68" s="33">
        <f t="shared" si="156"/>
        <v>-7.3175187559888749E-2</v>
      </c>
      <c r="AX68" s="23">
        <f>+_xlfn.XLOOKUP($B68,Revenue_FY25B!$B:$B,Revenue_FY25B!O:O,0)/1000</f>
        <v>-25.916166666666669</v>
      </c>
      <c r="AY68" s="25">
        <v>-24.015221879999999</v>
      </c>
      <c r="AZ68" s="8">
        <f t="shared" si="157"/>
        <v>1.9009447866666704</v>
      </c>
      <c r="BA68" s="33">
        <f t="shared" si="166"/>
        <v>-7.3349767005151362E-2</v>
      </c>
      <c r="BC68" s="23">
        <f>+_xlfn.XLOOKUP($B68,Revenue_FY25B!$B:$B,Revenue_FY25B!P:P,0)/1000</f>
        <v>-25.916166666666669</v>
      </c>
      <c r="BD68" s="25">
        <v>-24.722885619999996</v>
      </c>
      <c r="BE68" s="8">
        <f t="shared" si="159"/>
        <v>1.193281046666673</v>
      </c>
      <c r="BF68" s="33">
        <f t="shared" si="160"/>
        <v>-4.6043886891708762E-2</v>
      </c>
      <c r="BH68" s="23">
        <f>+_xlfn.XLOOKUP($B68,Revenue_FY25B!$B:$B,Revenue_FY25B!Q:Q,0)/1000</f>
        <v>-25.916166666666669</v>
      </c>
      <c r="BI68" s="25">
        <v>-33.66028128</v>
      </c>
      <c r="BJ68" s="8">
        <f t="shared" si="161"/>
        <v>-7.7441146133333305</v>
      </c>
      <c r="BK68" s="33">
        <f t="shared" si="162"/>
        <v>0.2988140458015266</v>
      </c>
      <c r="BM68" s="38">
        <f>Revenue_FY25B!D60/1000</f>
        <v>-310.99400000000003</v>
      </c>
      <c r="BN68" s="38">
        <f t="shared" si="167"/>
        <v>-313.74541927999996</v>
      </c>
      <c r="BO68" s="8">
        <f t="shared" si="164"/>
        <v>-2.7514192799999364</v>
      </c>
      <c r="BP68" s="33">
        <f t="shared" si="165"/>
        <v>8.8471780162959288E-3</v>
      </c>
    </row>
    <row r="69" spans="1:68" s="5" customFormat="1" ht="15.75" thickBot="1" x14ac:dyDescent="0.3">
      <c r="C69" s="5" t="s">
        <v>29</v>
      </c>
      <c r="E69" s="29">
        <f>SUM(E62:E68)</f>
        <v>349.64717993589318</v>
      </c>
      <c r="F69" s="30">
        <f>SUM(F62:F68)</f>
        <v>405.01019769882947</v>
      </c>
      <c r="G69" s="29">
        <f>F69-E69</f>
        <v>55.363017762936295</v>
      </c>
      <c r="H69" s="37">
        <f t="shared" si="140"/>
        <v>0.15833966621177081</v>
      </c>
      <c r="J69" s="29">
        <f>SUM(J62:J68)</f>
        <v>344.74964527986572</v>
      </c>
      <c r="K69" s="40">
        <f>SUM(K62:K68)</f>
        <v>343.79663404001343</v>
      </c>
      <c r="L69" s="29">
        <f t="shared" si="143"/>
        <v>-0.95301123985228742</v>
      </c>
      <c r="M69" s="37">
        <f t="shared" si="144"/>
        <v>-2.7643574196534373E-3</v>
      </c>
      <c r="O69" s="29">
        <f>SUM(O62:O68)</f>
        <v>339.61910119603988</v>
      </c>
      <c r="P69" s="40">
        <f>SUM(P62:P68)</f>
        <v>385.25155991799994</v>
      </c>
      <c r="Q69" s="29">
        <f t="shared" si="145"/>
        <v>45.632458721960063</v>
      </c>
      <c r="R69" s="37">
        <f t="shared" si="146"/>
        <v>0.13436364021121247</v>
      </c>
      <c r="T69" s="29">
        <f>SUM(T62:T68)</f>
        <v>347.78725520199669</v>
      </c>
      <c r="U69" s="40">
        <f>SUM(U62:U68)</f>
        <v>306.12261613999993</v>
      </c>
      <c r="V69" s="29">
        <f t="shared" si="147"/>
        <v>-41.664639061996752</v>
      </c>
      <c r="W69" s="37">
        <f t="shared" si="148"/>
        <v>-0.11979921184230201</v>
      </c>
      <c r="Y69" s="29">
        <f>SUM(Y62:Y68)</f>
        <v>319.34851443732873</v>
      </c>
      <c r="Z69" s="40">
        <f>SUM(Z62:Z68)</f>
        <v>234.683468275</v>
      </c>
      <c r="AA69" s="29">
        <f t="shared" si="149"/>
        <v>-84.665046162328736</v>
      </c>
      <c r="AB69" s="37">
        <f t="shared" si="150"/>
        <v>-0.26511802101695392</v>
      </c>
      <c r="AD69" s="29">
        <f>SUM(AD62:AD68)</f>
        <v>311.80375546369089</v>
      </c>
      <c r="AE69" s="40">
        <f>SUM(AE62:AE68)</f>
        <v>276.67591779999998</v>
      </c>
      <c r="AF69" s="29">
        <f t="shared" si="151"/>
        <v>-35.127837663690912</v>
      </c>
      <c r="AG69" s="37">
        <f t="shared" si="152"/>
        <v>-0.11266008522396229</v>
      </c>
      <c r="AI69" s="29">
        <f>SUM(AI62:AI68)</f>
        <v>274.68608851016654</v>
      </c>
      <c r="AJ69" s="40">
        <f>SUM(AJ62:AJ68)</f>
        <v>50.45823097418225</v>
      </c>
      <c r="AK69" s="29">
        <f t="shared" si="141"/>
        <v>-224.2278575359843</v>
      </c>
      <c r="AL69" s="37">
        <f t="shared" si="142"/>
        <v>-0.81630583751854358</v>
      </c>
      <c r="AN69" s="29">
        <f>SUM(AN62:AN68)</f>
        <v>250.09257169688502</v>
      </c>
      <c r="AO69" s="40">
        <f>SUM(AO62:AO68)</f>
        <v>186.95701500953101</v>
      </c>
      <c r="AP69" s="29">
        <f t="shared" si="153"/>
        <v>-63.135556687354011</v>
      </c>
      <c r="AQ69" s="37">
        <f t="shared" si="154"/>
        <v>-0.2524487483133846</v>
      </c>
      <c r="AS69" s="29">
        <f>SUM(AS62:AS68)</f>
        <v>297.97267121173638</v>
      </c>
      <c r="AT69" s="40">
        <f>SUM(AT62:AT68)</f>
        <v>333.64351992767547</v>
      </c>
      <c r="AU69" s="29">
        <f t="shared" si="155"/>
        <v>35.670848715939087</v>
      </c>
      <c r="AV69" s="37">
        <f t="shared" si="156"/>
        <v>0.11971181306956752</v>
      </c>
      <c r="AX69" s="29">
        <f>SUM(AX62:AX68)</f>
        <v>275.81158446848565</v>
      </c>
      <c r="AY69" s="40">
        <f>SUM(AY62:AY68)</f>
        <v>263.31949314799988</v>
      </c>
      <c r="AZ69" s="29">
        <f t="shared" si="157"/>
        <v>-12.49209132048577</v>
      </c>
      <c r="BA69" s="37">
        <f t="shared" si="158"/>
        <v>-4.5292119780099817E-2</v>
      </c>
      <c r="BC69" s="29">
        <f>SUM(BC62:BC68)</f>
        <v>303.36738145875643</v>
      </c>
      <c r="BD69" s="40">
        <f>SUM(BD62:BD68)</f>
        <v>306.67383971399994</v>
      </c>
      <c r="BE69" s="29">
        <f t="shared" si="159"/>
        <v>3.3064582552435127</v>
      </c>
      <c r="BF69" s="37">
        <f t="shared" si="160"/>
        <v>1.0899188433984732E-2</v>
      </c>
      <c r="BH69" s="29">
        <f>SUM(BH62:BH68)</f>
        <v>302.55435036596839</v>
      </c>
      <c r="BI69" s="40">
        <f>SUM(BI62:BI68)</f>
        <v>299.77850821899995</v>
      </c>
      <c r="BJ69" s="29">
        <f t="shared" si="161"/>
        <v>-2.7758421469684436</v>
      </c>
      <c r="BK69" s="37">
        <f t="shared" si="162"/>
        <v>-9.1746892537185373E-3</v>
      </c>
      <c r="BM69" s="29">
        <f>SUM(BM62:BM68)</f>
        <v>3717.4389999999999</v>
      </c>
      <c r="BN69" s="40">
        <f>SUM(BN62:BN68)</f>
        <v>3392.371000864232</v>
      </c>
      <c r="BO69" s="29">
        <f>BN69-BM69</f>
        <v>-325.06799913576788</v>
      </c>
      <c r="BP69" s="37">
        <f>IFERROR(BO69/BM69,"n.a.")</f>
        <v>-8.7444070806748375E-2</v>
      </c>
    </row>
    <row r="70" spans="1:68" s="180" customFormat="1" ht="15.75" outlineLevel="1" thickTop="1" x14ac:dyDescent="0.25">
      <c r="C70" s="182" t="s">
        <v>71</v>
      </c>
      <c r="E70" s="181">
        <f>+E69-Revenue_FY25B!F61/1000</f>
        <v>0</v>
      </c>
      <c r="J70" s="181">
        <f>+J69-Revenue_FY25B!G61/1000</f>
        <v>0</v>
      </c>
      <c r="O70" s="181">
        <f>+O69-Revenue_FY25B!H61/1000</f>
        <v>0</v>
      </c>
      <c r="T70" s="181">
        <f>+T69-Revenue_FY25B!I61/1000</f>
        <v>0</v>
      </c>
      <c r="Y70" s="181">
        <f>+Y69-Revenue_FY25B!J61/1000</f>
        <v>0</v>
      </c>
      <c r="AD70" s="181">
        <f>+AD69-Revenue_FY25B!K61/1000</f>
        <v>0</v>
      </c>
      <c r="AI70" s="181">
        <f>+AI69-Revenue_FY25B!L61/1000</f>
        <v>0</v>
      </c>
      <c r="AN70" s="181">
        <f>+AN69-Revenue_FY25B!M61/1000</f>
        <v>0</v>
      </c>
      <c r="AS70" s="181">
        <f>+AS69-Revenue_FY25B!N61/1000</f>
        <v>0</v>
      </c>
      <c r="AX70" s="181">
        <f>+AX69-Revenue_FY25B!O61/1000</f>
        <v>0</v>
      </c>
      <c r="BC70" s="181">
        <f>+BC69-Revenue_FY25B!P61/1000</f>
        <v>0</v>
      </c>
      <c r="BH70" s="181">
        <f>+BH69-Revenue_FY25B!Q61/1000</f>
        <v>0</v>
      </c>
      <c r="BM70" s="247">
        <f>BM69-(Revenue_FY25B!S61/1000)</f>
        <v>0</v>
      </c>
    </row>
    <row r="72" spans="1:68" ht="15.75" x14ac:dyDescent="0.25">
      <c r="A72" s="215"/>
    </row>
    <row r="77" spans="1:68" x14ac:dyDescent="0.25">
      <c r="G77" s="278" t="s">
        <v>164</v>
      </c>
    </row>
    <row r="78" spans="1:68" x14ac:dyDescent="0.25">
      <c r="G78" s="279" t="s">
        <v>164</v>
      </c>
    </row>
  </sheetData>
  <mergeCells count="3">
    <mergeCell ref="B2:E2"/>
    <mergeCell ref="B3:E3"/>
    <mergeCell ref="B4:E4"/>
  </mergeCells>
  <pageMargins left="0.7" right="0.7" top="0.75" bottom="0.75" header="0.3" footer="0.3"/>
  <pageSetup scale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8952-D134-49BE-9FEA-D2FFDBD9D80D}">
  <sheetPr>
    <tabColor rgb="FF0070C0"/>
  </sheetPr>
  <dimension ref="A1:D26"/>
  <sheetViews>
    <sheetView workbookViewId="0"/>
  </sheetViews>
  <sheetFormatPr defaultRowHeight="15" x14ac:dyDescent="0.25"/>
  <cols>
    <col min="1" max="1" width="12" bestFit="1" customWidth="1"/>
  </cols>
  <sheetData>
    <row r="1" spans="1:4" x14ac:dyDescent="0.25">
      <c r="A1" t="s">
        <v>205</v>
      </c>
      <c r="B1" t="s">
        <v>206</v>
      </c>
      <c r="C1" t="s">
        <v>207</v>
      </c>
      <c r="D1" t="s">
        <v>208</v>
      </c>
    </row>
    <row r="2" spans="1:4" x14ac:dyDescent="0.25">
      <c r="A2" t="e">
        <f>#REF!</f>
        <v>#REF!</v>
      </c>
      <c r="B2" t="s">
        <v>245</v>
      </c>
      <c r="C2" t="s">
        <v>254</v>
      </c>
    </row>
    <row r="3" spans="1:4" x14ac:dyDescent="0.25">
      <c r="A3">
        <f>Cover!$A$1</f>
        <v>0</v>
      </c>
      <c r="B3" t="s">
        <v>245</v>
      </c>
      <c r="C3" t="s">
        <v>253</v>
      </c>
    </row>
    <row r="4" spans="1:4" x14ac:dyDescent="0.25">
      <c r="A4">
        <f>'Financial&gt;&gt;&gt;'!$A$1</f>
        <v>0</v>
      </c>
      <c r="B4" t="s">
        <v>245</v>
      </c>
      <c r="C4" t="s">
        <v>253</v>
      </c>
    </row>
    <row r="5" spans="1:4" x14ac:dyDescent="0.25">
      <c r="A5">
        <f>'B2A Summary'!$A$1</f>
        <v>0</v>
      </c>
      <c r="B5" t="s">
        <v>245</v>
      </c>
      <c r="C5" t="s">
        <v>253</v>
      </c>
    </row>
    <row r="6" spans="1:4" x14ac:dyDescent="0.25">
      <c r="A6">
        <f>'Monthly Revenues'!$A$1</f>
        <v>0</v>
      </c>
      <c r="B6" t="s">
        <v>245</v>
      </c>
      <c r="C6" t="s">
        <v>253</v>
      </c>
    </row>
    <row r="7" spans="1:4" x14ac:dyDescent="0.25">
      <c r="A7">
        <f>'Monthly Expenses'!$A$1</f>
        <v>28.020692580000002</v>
      </c>
      <c r="B7" t="s">
        <v>245</v>
      </c>
      <c r="C7" t="s">
        <v>253</v>
      </c>
    </row>
    <row r="8" spans="1:4" x14ac:dyDescent="0.25">
      <c r="A8">
        <f>'Variances Detail'!$A$1</f>
        <v>0</v>
      </c>
      <c r="B8" t="s">
        <v>245</v>
      </c>
      <c r="C8" t="s">
        <v>253</v>
      </c>
    </row>
    <row r="9" spans="1:4" x14ac:dyDescent="0.25">
      <c r="A9">
        <f>'Pension and Benefits'!$A$1</f>
        <v>0</v>
      </c>
      <c r="B9" t="s">
        <v>245</v>
      </c>
      <c r="C9" t="s">
        <v>253</v>
      </c>
    </row>
    <row r="10" spans="1:4" x14ac:dyDescent="0.25">
      <c r="A10">
        <f>'Source Docs&gt;&gt;&gt;'!$A$1</f>
        <v>0</v>
      </c>
      <c r="B10" t="s">
        <v>245</v>
      </c>
      <c r="C10" t="s">
        <v>253</v>
      </c>
    </row>
    <row r="11" spans="1:4" x14ac:dyDescent="0.25">
      <c r="A11">
        <f>Revenue_FY25B!$A$1</f>
        <v>0</v>
      </c>
      <c r="B11" t="s">
        <v>245</v>
      </c>
      <c r="C11" t="s">
        <v>254</v>
      </c>
    </row>
    <row r="12" spans="1:4" x14ac:dyDescent="0.25">
      <c r="A12">
        <f>Expenses_FY25B!$A$1</f>
        <v>0</v>
      </c>
      <c r="B12" t="s">
        <v>245</v>
      </c>
      <c r="C12" t="s">
        <v>253</v>
      </c>
    </row>
    <row r="13" spans="1:4" x14ac:dyDescent="0.25">
      <c r="A13" t="e">
        <f>#REF!</f>
        <v>#REF!</v>
      </c>
      <c r="B13" t="s">
        <v>245</v>
      </c>
      <c r="C13" t="s">
        <v>254</v>
      </c>
    </row>
    <row r="14" spans="1:4" x14ac:dyDescent="0.25">
      <c r="A14" t="e">
        <f>#REF!</f>
        <v>#REF!</v>
      </c>
      <c r="B14" t="s">
        <v>245</v>
      </c>
      <c r="C14" t="s">
        <v>250</v>
      </c>
    </row>
    <row r="15" spans="1:4" x14ac:dyDescent="0.25">
      <c r="A15" t="e">
        <f>#REF!</f>
        <v>#REF!</v>
      </c>
      <c r="B15" t="s">
        <v>245</v>
      </c>
      <c r="C15" t="s">
        <v>254</v>
      </c>
    </row>
    <row r="16" spans="1:4" x14ac:dyDescent="0.25">
      <c r="A16" t="e">
        <f>#REF!</f>
        <v>#REF!</v>
      </c>
      <c r="B16" t="s">
        <v>244</v>
      </c>
      <c r="C16" t="s">
        <v>243</v>
      </c>
    </row>
    <row r="17" spans="1:3" x14ac:dyDescent="0.25">
      <c r="A17" t="e">
        <f>#REF!</f>
        <v>#REF!</v>
      </c>
      <c r="B17" t="s">
        <v>244</v>
      </c>
      <c r="C17" t="s">
        <v>243</v>
      </c>
    </row>
    <row r="18" spans="1:3" x14ac:dyDescent="0.25">
      <c r="A18" t="e">
        <f>#REF!</f>
        <v>#REF!</v>
      </c>
      <c r="B18" t="s">
        <v>244</v>
      </c>
      <c r="C18" t="s">
        <v>243</v>
      </c>
    </row>
    <row r="19" spans="1:3" x14ac:dyDescent="0.25">
      <c r="A19" t="e">
        <f>#REF!</f>
        <v>#REF!</v>
      </c>
      <c r="B19" t="s">
        <v>244</v>
      </c>
      <c r="C19" t="s">
        <v>248</v>
      </c>
    </row>
    <row r="20" spans="1:3" x14ac:dyDescent="0.25">
      <c r="A20" t="e">
        <f>#REF!</f>
        <v>#REF!</v>
      </c>
      <c r="B20" t="s">
        <v>244</v>
      </c>
      <c r="C20" t="s">
        <v>249</v>
      </c>
    </row>
    <row r="21" spans="1:3" x14ac:dyDescent="0.25">
      <c r="A21" t="e">
        <f>#REF!</f>
        <v>#REF!</v>
      </c>
      <c r="B21" t="s">
        <v>245</v>
      </c>
      <c r="C21" t="s">
        <v>254</v>
      </c>
    </row>
    <row r="22" spans="1:3" x14ac:dyDescent="0.25">
      <c r="A22" t="e">
        <f>#REF!</f>
        <v>#REF!</v>
      </c>
      <c r="B22" t="s">
        <v>244</v>
      </c>
      <c r="C22" t="s">
        <v>243</v>
      </c>
    </row>
    <row r="23" spans="1:3" x14ac:dyDescent="0.25">
      <c r="A23" t="e">
        <f>#REF!</f>
        <v>#REF!</v>
      </c>
      <c r="B23" t="s">
        <v>244</v>
      </c>
      <c r="C23" t="s">
        <v>243</v>
      </c>
    </row>
    <row r="24" spans="1:3" x14ac:dyDescent="0.25">
      <c r="A24" t="e">
        <f>#REF!</f>
        <v>#REF!</v>
      </c>
      <c r="B24" t="s">
        <v>244</v>
      </c>
      <c r="C24" t="s">
        <v>243</v>
      </c>
    </row>
    <row r="25" spans="1:3" x14ac:dyDescent="0.25">
      <c r="A25" t="e">
        <f>#REF!</f>
        <v>#REF!</v>
      </c>
      <c r="B25" t="s">
        <v>245</v>
      </c>
      <c r="C25" t="s">
        <v>254</v>
      </c>
    </row>
    <row r="26" spans="1:3" x14ac:dyDescent="0.25">
      <c r="A26" t="e">
        <f>#REF!</f>
        <v>#REF!</v>
      </c>
      <c r="B26" t="s">
        <v>245</v>
      </c>
      <c r="C26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EC600-F5D6-4AA3-8618-04C9FE9CF4FE}">
  <sheetPr>
    <tabColor rgb="FF0070C0"/>
  </sheetPr>
  <dimension ref="A1:CZ1"/>
  <sheetViews>
    <sheetView workbookViewId="0"/>
  </sheetViews>
  <sheetFormatPr defaultRowHeight="15" x14ac:dyDescent="0.25"/>
  <sheetData>
    <row r="1" spans="1:104" x14ac:dyDescent="0.25">
      <c r="A1" t="s">
        <v>209</v>
      </c>
      <c r="B1" t="s">
        <v>210</v>
      </c>
      <c r="C1" t="s">
        <v>211</v>
      </c>
      <c r="D1" t="s">
        <v>212</v>
      </c>
      <c r="E1" t="s">
        <v>213</v>
      </c>
      <c r="F1" t="s">
        <v>214</v>
      </c>
      <c r="G1" t="s">
        <v>215</v>
      </c>
      <c r="H1" t="s">
        <v>216</v>
      </c>
      <c r="I1" t="s">
        <v>221</v>
      </c>
      <c r="J1" t="s">
        <v>222</v>
      </c>
      <c r="K1" t="s">
        <v>223</v>
      </c>
      <c r="L1" t="s">
        <v>224</v>
      </c>
      <c r="M1" t="s">
        <v>225</v>
      </c>
      <c r="N1" t="s">
        <v>227</v>
      </c>
      <c r="O1" t="s">
        <v>226</v>
      </c>
      <c r="Q1" t="s">
        <v>229</v>
      </c>
      <c r="R1" t="s">
        <v>228</v>
      </c>
      <c r="S1" t="s">
        <v>217</v>
      </c>
      <c r="T1" t="s">
        <v>230</v>
      </c>
      <c r="U1" t="s">
        <v>231</v>
      </c>
      <c r="V1" t="s">
        <v>232</v>
      </c>
      <c r="W1" t="s">
        <v>233</v>
      </c>
      <c r="X1" t="s">
        <v>234</v>
      </c>
      <c r="Z1" t="s">
        <v>236</v>
      </c>
      <c r="AA1" t="s">
        <v>220</v>
      </c>
      <c r="AB1" t="s">
        <v>218</v>
      </c>
      <c r="AC1" t="s">
        <v>219</v>
      </c>
      <c r="AD1" t="s">
        <v>238</v>
      </c>
      <c r="AE1" t="s">
        <v>237</v>
      </c>
      <c r="AG1" t="s">
        <v>240</v>
      </c>
      <c r="CV1" t="b">
        <v>1</v>
      </c>
      <c r="CW1" t="s">
        <v>235</v>
      </c>
      <c r="CX1" t="s">
        <v>239</v>
      </c>
      <c r="CY1" t="s">
        <v>241</v>
      </c>
      <c r="CZ1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BS98"/>
  <sheetViews>
    <sheetView zoomScaleNormal="100" workbookViewId="0">
      <pane xSplit="4" ySplit="10" topLeftCell="AY71" activePane="bottomRight" state="frozen"/>
      <selection pane="topRight" activeCell="E1" sqref="E1"/>
      <selection pane="bottomLeft" activeCell="A11" sqref="A11"/>
      <selection pane="bottomRight" activeCell="L3" sqref="L3"/>
    </sheetView>
  </sheetViews>
  <sheetFormatPr defaultColWidth="12" defaultRowHeight="15" outlineLevelCol="1" x14ac:dyDescent="0.25"/>
  <cols>
    <col min="1" max="1" width="4" customWidth="1"/>
    <col min="2" max="2" width="7.28515625" bestFit="1" customWidth="1"/>
    <col min="3" max="3" width="55" customWidth="1"/>
    <col min="4" max="4" width="2.42578125" customWidth="1"/>
    <col min="5" max="7" width="9.5703125" customWidth="1" outlineLevel="1"/>
    <col min="8" max="8" width="11" customWidth="1" outlineLevel="1"/>
    <col min="9" max="9" width="1.5703125" customWidth="1"/>
    <col min="10" max="11" width="9.5703125" customWidth="1" outlineLevel="1"/>
    <col min="12" max="12" width="9.42578125" customWidth="1" outlineLevel="1"/>
    <col min="13" max="13" width="11" customWidth="1" outlineLevel="1"/>
    <col min="14" max="14" width="1.5703125" customWidth="1"/>
    <col min="15" max="17" width="9.5703125" customWidth="1" outlineLevel="1"/>
    <col min="18" max="18" width="10.42578125" customWidth="1" outlineLevel="1"/>
    <col min="19" max="19" width="1.5703125" customWidth="1"/>
    <col min="20" max="22" width="9.5703125" customWidth="1" outlineLevel="1"/>
    <col min="23" max="23" width="11" customWidth="1" outlineLevel="1"/>
    <col min="24" max="24" width="1.5703125" customWidth="1"/>
    <col min="25" max="27" width="9.5703125" customWidth="1" outlineLevel="1"/>
    <col min="28" max="28" width="11" customWidth="1" outlineLevel="1"/>
    <col min="29" max="29" width="1.5703125" customWidth="1"/>
    <col min="30" max="32" width="9.5703125" customWidth="1" outlineLevel="1"/>
    <col min="33" max="33" width="12" customWidth="1" outlineLevel="1"/>
    <col min="34" max="34" width="1.5703125" customWidth="1"/>
    <col min="35" max="37" width="9.5703125" customWidth="1" outlineLevel="1"/>
    <col min="38" max="38" width="12" customWidth="1" outlineLevel="1"/>
    <col min="39" max="39" width="1.5703125" customWidth="1"/>
    <col min="40" max="42" width="9.5703125" customWidth="1" outlineLevel="1"/>
    <col min="43" max="43" width="12" customWidth="1" outlineLevel="1"/>
    <col min="44" max="44" width="1.5703125" customWidth="1"/>
    <col min="45" max="47" width="9.5703125" customWidth="1" outlineLevel="1"/>
    <col min="48" max="48" width="12" customWidth="1" outlineLevel="1"/>
    <col min="49" max="49" width="1.5703125" customWidth="1"/>
    <col min="50" max="52" width="9.5703125" customWidth="1" outlineLevel="1"/>
    <col min="53" max="53" width="11" customWidth="1" outlineLevel="1"/>
    <col min="54" max="54" width="1.5703125" customWidth="1"/>
    <col min="55" max="57" width="9.5703125" customWidth="1" outlineLevel="1"/>
    <col min="58" max="58" width="12" customWidth="1" outlineLevel="1"/>
    <col min="59" max="59" width="1.5703125" customWidth="1"/>
    <col min="60" max="62" width="9.5703125" customWidth="1" outlineLevel="1"/>
    <col min="63" max="63" width="10.42578125" customWidth="1" outlineLevel="1"/>
    <col min="64" max="64" width="1.5703125" customWidth="1"/>
    <col min="65" max="67" width="9.5703125" customWidth="1"/>
    <col min="68" max="68" width="12" bestFit="1" customWidth="1"/>
  </cols>
  <sheetData>
    <row r="1" spans="1:68" x14ac:dyDescent="0.25">
      <c r="A1" s="100">
        <f>P77</f>
        <v>28.020692580000002</v>
      </c>
      <c r="C1" s="2"/>
    </row>
    <row r="2" spans="1:68" ht="15.75" x14ac:dyDescent="0.25">
      <c r="B2" s="303" t="s">
        <v>1</v>
      </c>
      <c r="C2" s="303"/>
      <c r="D2" s="303"/>
      <c r="E2" s="303"/>
      <c r="J2" s="76"/>
    </row>
    <row r="3" spans="1:68" ht="15.75" x14ac:dyDescent="0.25">
      <c r="B3" s="303" t="s">
        <v>53</v>
      </c>
      <c r="C3" s="303"/>
      <c r="D3" s="303"/>
      <c r="E3" s="303"/>
      <c r="J3" s="76"/>
    </row>
    <row r="4" spans="1:68" ht="15.75" x14ac:dyDescent="0.25">
      <c r="B4" s="304" t="s">
        <v>187</v>
      </c>
      <c r="C4" s="304"/>
      <c r="D4" s="304"/>
      <c r="E4" s="304"/>
    </row>
    <row r="5" spans="1:68" ht="15.75" x14ac:dyDescent="0.25">
      <c r="B5" s="130" t="s">
        <v>18</v>
      </c>
      <c r="C5" s="129">
        <f>+Cover!$L$4</f>
        <v>45884</v>
      </c>
      <c r="D5" s="131"/>
      <c r="E5" s="131"/>
    </row>
    <row r="6" spans="1:68" x14ac:dyDescent="0.25">
      <c r="B6" s="124"/>
      <c r="C6" s="124"/>
      <c r="D6" s="124"/>
      <c r="E6" s="124"/>
    </row>
    <row r="7" spans="1:68" ht="28.5" x14ac:dyDescent="0.45">
      <c r="C7" s="3" t="s">
        <v>189</v>
      </c>
    </row>
    <row r="8" spans="1:68" x14ac:dyDescent="0.25">
      <c r="C8" t="s">
        <v>19</v>
      </c>
      <c r="E8" s="20">
        <v>45474</v>
      </c>
      <c r="F8" s="21"/>
      <c r="G8" s="21"/>
      <c r="H8" s="21"/>
      <c r="J8" s="20">
        <f>+EOMONTH(E8,1)</f>
        <v>45535</v>
      </c>
      <c r="K8" s="21"/>
      <c r="L8" s="21"/>
      <c r="M8" s="21"/>
      <c r="O8" s="20">
        <f>+EOMONTH(J8,1)</f>
        <v>45565</v>
      </c>
      <c r="P8" s="21"/>
      <c r="Q8" s="21"/>
      <c r="R8" s="21"/>
      <c r="T8" s="20">
        <f>+EOMONTH(O8,1)</f>
        <v>45596</v>
      </c>
      <c r="U8" s="21"/>
      <c r="V8" s="21"/>
      <c r="W8" s="21"/>
      <c r="Y8" s="20">
        <f>+EOMONTH(T8,1)</f>
        <v>45626</v>
      </c>
      <c r="Z8" s="21"/>
      <c r="AA8" s="21"/>
      <c r="AB8" s="21"/>
      <c r="AD8" s="20">
        <f>+EOMONTH(Y8,1)</f>
        <v>45657</v>
      </c>
      <c r="AE8" s="21"/>
      <c r="AF8" s="21"/>
      <c r="AG8" s="21"/>
      <c r="AI8" s="20">
        <f>+EOMONTH(AD8,1)</f>
        <v>45688</v>
      </c>
      <c r="AJ8" s="21"/>
      <c r="AK8" s="21"/>
      <c r="AL8" s="21"/>
      <c r="AN8" s="20">
        <f>+EOMONTH(AI8,1)</f>
        <v>45716</v>
      </c>
      <c r="AO8" s="21"/>
      <c r="AP8" s="21"/>
      <c r="AQ8" s="21"/>
      <c r="AS8" s="20">
        <f>+EOMONTH(AN8,1)</f>
        <v>45747</v>
      </c>
      <c r="AT8" s="21"/>
      <c r="AU8" s="21"/>
      <c r="AV8" s="21"/>
      <c r="AX8" s="20">
        <f>+EOMONTH(AS8,1)</f>
        <v>45777</v>
      </c>
      <c r="AY8" s="21"/>
      <c r="AZ8" s="21"/>
      <c r="BA8" s="21"/>
      <c r="BC8" s="20">
        <f>+EOMONTH(AX8,1)</f>
        <v>45808</v>
      </c>
      <c r="BD8" s="21"/>
      <c r="BE8" s="21"/>
      <c r="BF8" s="21"/>
      <c r="BH8" s="20">
        <f>+EOMONTH(BC8,1)</f>
        <v>45838</v>
      </c>
      <c r="BI8" s="21"/>
      <c r="BJ8" s="21"/>
      <c r="BK8" s="21"/>
      <c r="BM8" s="108" t="s">
        <v>20</v>
      </c>
      <c r="BN8" s="109"/>
      <c r="BO8" s="109"/>
      <c r="BP8" s="109"/>
    </row>
    <row r="9" spans="1:68" hidden="1" x14ac:dyDescent="0.25">
      <c r="E9" s="20">
        <f>+EOMONTH(E8,0)</f>
        <v>45504</v>
      </c>
      <c r="F9" s="21"/>
      <c r="G9" s="21"/>
      <c r="H9" s="21"/>
      <c r="J9" s="20">
        <f>+EOMONTH(J8,0)</f>
        <v>45535</v>
      </c>
      <c r="K9" s="21"/>
      <c r="L9" s="21"/>
      <c r="M9" s="21"/>
      <c r="O9" s="20">
        <f>+EOMONTH(O8,0)</f>
        <v>45565</v>
      </c>
      <c r="P9" s="21"/>
      <c r="Q9" s="21"/>
      <c r="R9" s="21"/>
      <c r="T9" s="20">
        <f>+EOMONTH(T8,0)</f>
        <v>45596</v>
      </c>
      <c r="U9" s="21"/>
      <c r="V9" s="21"/>
      <c r="W9" s="21"/>
      <c r="Y9" s="20">
        <f>+EOMONTH(Y8,0)</f>
        <v>45626</v>
      </c>
      <c r="Z9" s="21"/>
      <c r="AA9" s="21"/>
      <c r="AB9" s="21"/>
      <c r="AD9" s="20">
        <f>+EOMONTH(AD8,0)</f>
        <v>45657</v>
      </c>
      <c r="AE9" s="21"/>
      <c r="AF9" s="21"/>
      <c r="AG9" s="21"/>
      <c r="AI9" s="20">
        <f>+EOMONTH(AI8,0)</f>
        <v>45688</v>
      </c>
      <c r="AJ9" s="21"/>
      <c r="AK9" s="21"/>
      <c r="AL9" s="21"/>
      <c r="AN9" s="20">
        <f>+EOMONTH(AN8,0)</f>
        <v>45716</v>
      </c>
      <c r="AO9" s="21"/>
      <c r="AP9" s="21"/>
      <c r="AQ9" s="21"/>
      <c r="AS9" s="20">
        <f>+EOMONTH(AS8,0)</f>
        <v>45747</v>
      </c>
      <c r="AT9" s="21"/>
      <c r="AU9" s="21"/>
      <c r="AV9" s="21"/>
      <c r="AX9" s="20">
        <f>+EOMONTH(AX8,0)</f>
        <v>45777</v>
      </c>
      <c r="AY9" s="21"/>
      <c r="AZ9" s="21"/>
      <c r="BA9" s="21"/>
      <c r="BC9" s="20">
        <f>+EOMONTH(BC8,0)</f>
        <v>45808</v>
      </c>
      <c r="BD9" s="21"/>
      <c r="BE9" s="21"/>
      <c r="BF9" s="21"/>
      <c r="BH9" s="20">
        <f>+EOMONTH(BH8,0)</f>
        <v>45838</v>
      </c>
      <c r="BI9" s="21"/>
      <c r="BJ9" s="21"/>
      <c r="BK9" s="21"/>
      <c r="BM9" s="108" t="e">
        <f>+EOMONTH(BM8,0)</f>
        <v>#VALUE!</v>
      </c>
      <c r="BN9" s="109"/>
      <c r="BO9" s="109"/>
      <c r="BP9" s="109"/>
    </row>
    <row r="10" spans="1:68" s="5" customFormat="1" ht="45" customHeight="1" collapsed="1" x14ac:dyDescent="0.25">
      <c r="C10" s="22" t="s">
        <v>31</v>
      </c>
      <c r="D10" s="4"/>
      <c r="E10" s="22" t="str">
        <f>+TEXT(E$8,"MMM-YY ") &amp; "Budget"</f>
        <v>Jul-24 Budget</v>
      </c>
      <c r="F10" s="22" t="str">
        <f>+TEXT(E$8,"MMM-YY ") &amp; "Actual"</f>
        <v>Jul-24 Actual</v>
      </c>
      <c r="G10" s="22" t="str">
        <f>+TEXT(E$8,"MMM-YY ") &amp; "Variance ($)"</f>
        <v>Jul-24 Variance ($)</v>
      </c>
      <c r="H10" s="22" t="str">
        <f>+TEXT(E$8,"MMM-YY ") &amp; "Variance (%)"</f>
        <v>Jul-24 Variance (%)</v>
      </c>
      <c r="I10" s="4"/>
      <c r="J10" s="22" t="str">
        <f>+TEXT(J$8,"MMM-YY ") &amp; "Budget"</f>
        <v>Aug-24 Budget</v>
      </c>
      <c r="K10" s="22" t="str">
        <f>+TEXT(J$8,"MMM-YY ") &amp; "Actual"</f>
        <v>Aug-24 Actual</v>
      </c>
      <c r="L10" s="22" t="str">
        <f>+TEXT(J$8,"MMM-YY ") &amp; "Variance ($)"</f>
        <v>Aug-24 Variance ($)</v>
      </c>
      <c r="M10" s="22" t="str">
        <f>+TEXT(J$8,"MMM-YY ") &amp; "Variance (%)"</f>
        <v>Aug-24 Variance (%)</v>
      </c>
      <c r="N10" s="4"/>
      <c r="O10" s="22" t="str">
        <f>+TEXT(O$8,"MMM-YY ") &amp; "Budget"</f>
        <v>Sep-24 Budget</v>
      </c>
      <c r="P10" s="22" t="str">
        <f>+TEXT(O$8,"MMM-YY ") &amp; "Actual"</f>
        <v>Sep-24 Actual</v>
      </c>
      <c r="Q10" s="22" t="str">
        <f>+TEXT(O$8,"MMM-YY ") &amp; "Variance ($)"</f>
        <v>Sep-24 Variance ($)</v>
      </c>
      <c r="R10" s="22" t="str">
        <f>+TEXT(O$8,"MMM-YY ") &amp; "Variance (%)"</f>
        <v>Sep-24 Variance (%)</v>
      </c>
      <c r="S10" s="4"/>
      <c r="T10" s="22" t="str">
        <f>+TEXT(T$8,"MMM-YY ") &amp; "Budget"</f>
        <v>Oct-24 Budget</v>
      </c>
      <c r="U10" s="22" t="str">
        <f>+TEXT(T$8,"MMM-YY ") &amp; "Actual"</f>
        <v>Oct-24 Actual</v>
      </c>
      <c r="V10" s="22" t="str">
        <f>+TEXT(T$8,"MMM-YY ") &amp; "Variance ($)"</f>
        <v>Oct-24 Variance ($)</v>
      </c>
      <c r="W10" s="22" t="str">
        <f>+TEXT(T$8,"MMM-YY ") &amp; "Variance (%)"</f>
        <v>Oct-24 Variance (%)</v>
      </c>
      <c r="X10" s="4"/>
      <c r="Y10" s="22" t="str">
        <f>+TEXT(Y$8,"MMM-YY ") &amp; "Budget"</f>
        <v>Nov-24 Budget</v>
      </c>
      <c r="Z10" s="22" t="str">
        <f>+TEXT(Y$8,"MMM-YY ") &amp; "Actual"</f>
        <v>Nov-24 Actual</v>
      </c>
      <c r="AA10" s="22" t="str">
        <f>+TEXT(Y$8,"MMM-YY ") &amp; "Variance ($)"</f>
        <v>Nov-24 Variance ($)</v>
      </c>
      <c r="AB10" s="22" t="str">
        <f>+TEXT(Y$8,"MMM-YY ") &amp; "Variance (%)"</f>
        <v>Nov-24 Variance (%)</v>
      </c>
      <c r="AC10" s="4"/>
      <c r="AD10" s="22" t="str">
        <f>+TEXT(AD$8,"MMM-YY ") &amp; "Budget"</f>
        <v>Dec-24 Budget</v>
      </c>
      <c r="AE10" s="22" t="str">
        <f>+TEXT(AD$8,"MMM-YY ") &amp; "Actual"</f>
        <v>Dec-24 Actual</v>
      </c>
      <c r="AF10" s="22" t="str">
        <f>+TEXT(AD$8,"MMM-YY ") &amp; "Variance ($)"</f>
        <v>Dec-24 Variance ($)</v>
      </c>
      <c r="AG10" s="22" t="str">
        <f>+TEXT(AD$8,"MMM-YY ") &amp; "Variance (%)"</f>
        <v>Dec-24 Variance (%)</v>
      </c>
      <c r="AH10" s="4"/>
      <c r="AI10" s="22" t="str">
        <f>+TEXT(AI$8,"MMM-YY ") &amp; "Budget"</f>
        <v>Jan-25 Budget</v>
      </c>
      <c r="AJ10" s="22" t="str">
        <f>+TEXT(AI$8,"MMM-YY ") &amp; "Actual"</f>
        <v>Jan-25 Actual</v>
      </c>
      <c r="AK10" s="22" t="str">
        <f>+TEXT(AI$8,"MMM-YY ") &amp; "Variance ($)"</f>
        <v>Jan-25 Variance ($)</v>
      </c>
      <c r="AL10" s="22" t="str">
        <f>+TEXT(AI$8,"MMM-YY ") &amp; "Variance (%)"</f>
        <v>Jan-25 Variance (%)</v>
      </c>
      <c r="AM10" s="4"/>
      <c r="AN10" s="22" t="str">
        <f>+TEXT(AN$8,"MMM-YY ") &amp; "Budget"</f>
        <v>Feb-25 Budget</v>
      </c>
      <c r="AO10" s="22" t="str">
        <f>+TEXT(AN$8,"MMM-YY ") &amp; "Actual"</f>
        <v>Feb-25 Actual</v>
      </c>
      <c r="AP10" s="22" t="str">
        <f>+TEXT(AN$8,"MMM-YY ") &amp; "Variance ($)"</f>
        <v>Feb-25 Variance ($)</v>
      </c>
      <c r="AQ10" s="22" t="str">
        <f>+TEXT(AN$8,"MMM-YY ") &amp; "Variance (%)"</f>
        <v>Feb-25 Variance (%)</v>
      </c>
      <c r="AR10" s="4"/>
      <c r="AS10" s="22" t="str">
        <f>+TEXT(AS$8,"MMM-YY ") &amp; "Budget"</f>
        <v>Mar-25 Budget</v>
      </c>
      <c r="AT10" s="22" t="str">
        <f>+TEXT(AS$8,"MMM-YY ") &amp; "Actual"</f>
        <v>Mar-25 Actual</v>
      </c>
      <c r="AU10" s="22" t="str">
        <f>+TEXT(AS$8,"MMM-YY ") &amp; "Variance ($)"</f>
        <v>Mar-25 Variance ($)</v>
      </c>
      <c r="AV10" s="22" t="str">
        <f>+TEXT(AS$8,"MMM-YY ") &amp; "Variance (%)"</f>
        <v>Mar-25 Variance (%)</v>
      </c>
      <c r="AW10" s="4"/>
      <c r="AX10" s="22" t="str">
        <f>+TEXT(AX$8,"MMM-YY ") &amp; "Budget"</f>
        <v>Apr-25 Budget</v>
      </c>
      <c r="AY10" s="22" t="str">
        <f>+TEXT(AX$8,"MMM-YY ") &amp; "Actual"</f>
        <v>Apr-25 Actual</v>
      </c>
      <c r="AZ10" s="22" t="str">
        <f>+TEXT(AX$8,"MMM-YY ") &amp; "Variance ($)"</f>
        <v>Apr-25 Variance ($)</v>
      </c>
      <c r="BA10" s="22" t="str">
        <f>+TEXT(AX$8,"MMM-YY ") &amp; "Variance (%)"</f>
        <v>Apr-25 Variance (%)</v>
      </c>
      <c r="BB10" s="4"/>
      <c r="BC10" s="22" t="str">
        <f>+TEXT(BC$8,"MMM-YY ") &amp; "Budget"</f>
        <v>May-25 Budget</v>
      </c>
      <c r="BD10" s="22" t="str">
        <f>+TEXT(BC$8,"MMM-YY ") &amp; "Actual"</f>
        <v>May-25 Actual</v>
      </c>
      <c r="BE10" s="22" t="str">
        <f>+TEXT(BC$8,"MMM-YY ") &amp; "Variance ($)"</f>
        <v>May-25 Variance ($)</v>
      </c>
      <c r="BF10" s="22" t="str">
        <f>+TEXT(BC$8,"MMM-YY ") &amp; "Variance (%)"</f>
        <v>May-25 Variance (%)</v>
      </c>
      <c r="BG10" s="4"/>
      <c r="BH10" s="22" t="str">
        <f>+TEXT(BH$8,"MMM-YY ") &amp; "Budget"</f>
        <v>Jun-25 Budget</v>
      </c>
      <c r="BI10" s="22" t="str">
        <f>+TEXT(BH$8,"MMM-YY ") &amp; "Actual"</f>
        <v>Jun-25 Actual</v>
      </c>
      <c r="BJ10" s="22" t="str">
        <f>+TEXT(BH$8,"MMM-YY ") &amp; "Variance ($)"</f>
        <v>Jun-25 Variance ($)</v>
      </c>
      <c r="BK10" s="22" t="str">
        <f>+TEXT(BH$8,"MMM-YY ") &amp; "Variance (%)"</f>
        <v>Jun-25 Variance (%)</v>
      </c>
      <c r="BM10" s="110" t="s">
        <v>72</v>
      </c>
      <c r="BN10" s="110" t="str">
        <f>+TEXT(BM$8,"MMM-YY ") &amp; "Actual"</f>
        <v>YTD Actual</v>
      </c>
      <c r="BO10" s="110" t="str">
        <f>+TEXT(BM$8,"MMM-YY ") &amp; "Variance ($)"</f>
        <v>YTD Variance ($)</v>
      </c>
      <c r="BP10" s="110" t="str">
        <f>+TEXT(BM$8,"MMM-YY ") &amp; "Variance (%)"</f>
        <v>YTD Variance (%)</v>
      </c>
    </row>
    <row r="12" spans="1:68" x14ac:dyDescent="0.25">
      <c r="B12" s="70" t="s">
        <v>22</v>
      </c>
      <c r="C12" s="96" t="s">
        <v>73</v>
      </c>
      <c r="D12" s="6"/>
      <c r="BM12" s="240"/>
      <c r="BN12" s="38"/>
      <c r="BO12" s="8"/>
      <c r="BP12" s="33"/>
    </row>
    <row r="13" spans="1:68" x14ac:dyDescent="0.25">
      <c r="B13">
        <v>40</v>
      </c>
      <c r="C13" s="15" t="s">
        <v>74</v>
      </c>
      <c r="E13" s="23">
        <f>+_xlfn.XLOOKUP($B13,Expenses_FY25B!$B:$B,Expenses_FY25B!S:S)/1000</f>
        <v>0</v>
      </c>
      <c r="F13" s="25"/>
      <c r="G13" s="8">
        <f>E13-F13</f>
        <v>0</v>
      </c>
      <c r="H13" s="33" t="str">
        <f>IFERROR(G13/E13,"n.a.")</f>
        <v>n.a.</v>
      </c>
      <c r="J13" s="23">
        <f>+_xlfn.XLOOKUP($B13,Expenses_FY25B!$B:$B,Expenses_FY25B!T:T)/1000</f>
        <v>0</v>
      </c>
      <c r="K13" s="25"/>
      <c r="L13" s="8">
        <f>J13-K13</f>
        <v>0</v>
      </c>
      <c r="M13" s="33" t="str">
        <f>IFERROR(L13/J13,"n.a.")</f>
        <v>n.a.</v>
      </c>
      <c r="O13" s="23">
        <f>+_xlfn.XLOOKUP($B13,Expenses_FY25B!$B:$B,Expenses_FY25B!U:U)/1000</f>
        <v>0</v>
      </c>
      <c r="P13" s="25"/>
      <c r="Q13" s="8">
        <f>O13-P13</f>
        <v>0</v>
      </c>
      <c r="R13" s="33" t="str">
        <f>IFERROR(Q13/O13,"n.a.")</f>
        <v>n.a.</v>
      </c>
      <c r="T13" s="23">
        <f>+_xlfn.XLOOKUP($B13,Expenses_FY25B!$B:$B,Expenses_FY25B!V:V)/1000</f>
        <v>0</v>
      </c>
      <c r="U13" s="25"/>
      <c r="V13" s="8">
        <f>T13-U13</f>
        <v>0</v>
      </c>
      <c r="W13" s="33" t="str">
        <f>IFERROR(V13/T13,"n.a.")</f>
        <v>n.a.</v>
      </c>
      <c r="Y13" s="23">
        <f>+_xlfn.XLOOKUP($B13,Expenses_FY25B!$B:$B,Expenses_FY25B!W:W)/1000</f>
        <v>0</v>
      </c>
      <c r="Z13" s="25"/>
      <c r="AA13" s="8">
        <f>Y13-Z13</f>
        <v>0</v>
      </c>
      <c r="AB13" s="33" t="str">
        <f>IFERROR(AA13/Y13,"n.a.")</f>
        <v>n.a.</v>
      </c>
      <c r="AD13" s="23">
        <f>+_xlfn.XLOOKUP($B13,Expenses_FY25B!$B:$B,Expenses_FY25B!X:X)/1000</f>
        <v>0</v>
      </c>
      <c r="AE13" s="25"/>
      <c r="AF13" s="8">
        <f>AD13-AE13</f>
        <v>0</v>
      </c>
      <c r="AG13" s="33" t="str">
        <f>IFERROR(AF13/AD13,"n.a.")</f>
        <v>n.a.</v>
      </c>
      <c r="AI13" s="23">
        <f>+_xlfn.XLOOKUP($B13,Expenses_FY25B!$B:$B,Expenses_FY25B!Y:Y)/1000</f>
        <v>0</v>
      </c>
      <c r="AJ13" s="25"/>
      <c r="AK13" s="8">
        <f>AI13-AJ13</f>
        <v>0</v>
      </c>
      <c r="AL13" s="33" t="str">
        <f>IFERROR(AK13/AI13,"n.a.")</f>
        <v>n.a.</v>
      </c>
      <c r="AN13" s="23">
        <f>+_xlfn.XLOOKUP($B13,Expenses_FY25B!$B:$B,Expenses_FY25B!Z:Z)/1000</f>
        <v>0</v>
      </c>
      <c r="AO13" s="25"/>
      <c r="AP13" s="8">
        <f>AN13-AO13</f>
        <v>0</v>
      </c>
      <c r="AQ13" s="33" t="str">
        <f>IFERROR(AP13/AN13,"n.a.")</f>
        <v>n.a.</v>
      </c>
      <c r="AS13" s="23">
        <f>+_xlfn.XLOOKUP($B13,Expenses_FY25B!$B:$B,Expenses_FY25B!AA:AA)/1000</f>
        <v>0</v>
      </c>
      <c r="AT13" s="25"/>
      <c r="AU13" s="8">
        <f>AS13-AT13</f>
        <v>0</v>
      </c>
      <c r="AV13" s="33" t="str">
        <f>IFERROR(AU13/AS13,"n.a.")</f>
        <v>n.a.</v>
      </c>
      <c r="AX13" s="23">
        <f>+_xlfn.XLOOKUP($B13,Expenses_FY25B!$B:$B,Expenses_FY25B!AB:AB)/1000</f>
        <v>0</v>
      </c>
      <c r="AY13" s="25"/>
      <c r="AZ13" s="8">
        <f>AX13-AY13</f>
        <v>0</v>
      </c>
      <c r="BA13" s="33" t="str">
        <f>IFERROR(AZ13/AX13,"n.a.")</f>
        <v>n.a.</v>
      </c>
      <c r="BC13" s="23">
        <f>+_xlfn.XLOOKUP($B13,Expenses_FY25B!$B:$B,Expenses_FY25B!AC:AC)/1000</f>
        <v>0</v>
      </c>
      <c r="BD13" s="25"/>
      <c r="BE13" s="8">
        <f>BC13-BD13</f>
        <v>0</v>
      </c>
      <c r="BF13" s="33" t="str">
        <f>IFERROR(BE13/BC13,"n.a.")</f>
        <v>n.a.</v>
      </c>
      <c r="BH13" s="23">
        <f>+_xlfn.XLOOKUP($B13,Expenses_FY25B!$B:$B,Expenses_FY25B!AD:AD)/1000</f>
        <v>0</v>
      </c>
      <c r="BI13" s="25"/>
      <c r="BJ13" s="8">
        <f>BH13-BI13</f>
        <v>0</v>
      </c>
      <c r="BK13" s="33" t="str">
        <f>IFERROR(BJ13/BH13,"n.a.")</f>
        <v>n.a.</v>
      </c>
      <c r="BM13" s="38">
        <f>+E13+J13+O13+T13+Y13+AD13+AI13+AN13+AS13+AX13+BC13+BH13</f>
        <v>0</v>
      </c>
      <c r="BN13" s="38">
        <f>+F13+K13+P13+U13+Z13+AE13+AJ13+AO13+AT13+AY13+BD13+BI13</f>
        <v>0</v>
      </c>
      <c r="BO13" s="8">
        <f>BM13-BN13</f>
        <v>0</v>
      </c>
      <c r="BP13" s="33" t="str">
        <f t="shared" ref="BP13:BP15" si="0">IFERROR(BO13/BM13,"n.a.")</f>
        <v>n.a.</v>
      </c>
    </row>
    <row r="14" spans="1:68" x14ac:dyDescent="0.25">
      <c r="B14">
        <f>+MAX($B$1:B13)+1</f>
        <v>41</v>
      </c>
      <c r="C14" s="15" t="s">
        <v>75</v>
      </c>
      <c r="E14" s="23">
        <f>+_xlfn.XLOOKUP($B14,Expenses_FY25B!$B:$B,Expenses_FY25B!S:S)/1000</f>
        <v>0</v>
      </c>
      <c r="F14" s="25"/>
      <c r="G14" s="8">
        <f t="shared" ref="G14:G16" si="1">E14-F14</f>
        <v>0</v>
      </c>
      <c r="H14" s="33" t="str">
        <f>IFERROR(G14/E14,"n.a.")</f>
        <v>n.a.</v>
      </c>
      <c r="J14" s="23">
        <f>+_xlfn.XLOOKUP($B14,Expenses_FY25B!$B:$B,Expenses_FY25B!T:T)/1000</f>
        <v>0</v>
      </c>
      <c r="K14" s="25"/>
      <c r="L14" s="8">
        <f t="shared" ref="L14:L16" si="2">J14-K14</f>
        <v>0</v>
      </c>
      <c r="M14" s="33" t="str">
        <f>IFERROR(L14/J14,"n.a.")</f>
        <v>n.a.</v>
      </c>
      <c r="O14" s="23">
        <f>+_xlfn.XLOOKUP($B14,Expenses_FY25B!$B:$B,Expenses_FY25B!U:U)/1000</f>
        <v>0</v>
      </c>
      <c r="P14" s="25"/>
      <c r="Q14" s="8">
        <f t="shared" ref="Q14:Q16" si="3">O14-P14</f>
        <v>0</v>
      </c>
      <c r="R14" s="33" t="str">
        <f>IFERROR(Q14/O14,"n.a.")</f>
        <v>n.a.</v>
      </c>
      <c r="T14" s="23">
        <f>+_xlfn.XLOOKUP($B14,Expenses_FY25B!$B:$B,Expenses_FY25B!V:V)/1000</f>
        <v>0</v>
      </c>
      <c r="U14" s="25"/>
      <c r="V14" s="8">
        <f t="shared" ref="V14:V16" si="4">T14-U14</f>
        <v>0</v>
      </c>
      <c r="W14" s="33" t="str">
        <f>IFERROR(V14/T14,"n.a.")</f>
        <v>n.a.</v>
      </c>
      <c r="Y14" s="23">
        <f>+_xlfn.XLOOKUP($B14,Expenses_FY25B!$B:$B,Expenses_FY25B!W:W)/1000</f>
        <v>0</v>
      </c>
      <c r="Z14" s="25"/>
      <c r="AA14" s="8">
        <f t="shared" ref="AA14:AA16" si="5">Y14-Z14</f>
        <v>0</v>
      </c>
      <c r="AB14" s="33" t="str">
        <f>IFERROR(AA14/Y14,"n.a.")</f>
        <v>n.a.</v>
      </c>
      <c r="AD14" s="23">
        <f>+_xlfn.XLOOKUP($B14,Expenses_FY25B!$B:$B,Expenses_FY25B!X:X)/1000</f>
        <v>0</v>
      </c>
      <c r="AE14" s="25"/>
      <c r="AF14" s="8">
        <f t="shared" ref="AF14:AF16" si="6">AD14-AE14</f>
        <v>0</v>
      </c>
      <c r="AG14" s="33" t="str">
        <f>IFERROR(AF14/AD14,"n.a.")</f>
        <v>n.a.</v>
      </c>
      <c r="AI14" s="23">
        <f>+_xlfn.XLOOKUP($B14,Expenses_FY25B!$B:$B,Expenses_FY25B!Y:Y)/1000</f>
        <v>0</v>
      </c>
      <c r="AJ14" s="25"/>
      <c r="AK14" s="8">
        <f t="shared" ref="AK14:AK16" si="7">AI14-AJ14</f>
        <v>0</v>
      </c>
      <c r="AL14" s="33" t="str">
        <f>IFERROR(AK14/AI14,"n.a.")</f>
        <v>n.a.</v>
      </c>
      <c r="AN14" s="23">
        <f>+_xlfn.XLOOKUP($B14,Expenses_FY25B!$B:$B,Expenses_FY25B!Z:Z)/1000</f>
        <v>0</v>
      </c>
      <c r="AO14" s="25"/>
      <c r="AP14" s="8">
        <f t="shared" ref="AP14:AP16" si="8">AN14-AO14</f>
        <v>0</v>
      </c>
      <c r="AQ14" s="33" t="str">
        <f>IFERROR(AP14/AN14,"n.a.")</f>
        <v>n.a.</v>
      </c>
      <c r="AS14" s="23">
        <f>+_xlfn.XLOOKUP($B14,Expenses_FY25B!$B:$B,Expenses_FY25B!AA:AA)/1000</f>
        <v>0</v>
      </c>
      <c r="AT14" s="25"/>
      <c r="AU14" s="8">
        <f t="shared" ref="AU14:AU16" si="9">AS14-AT14</f>
        <v>0</v>
      </c>
      <c r="AV14" s="33" t="str">
        <f>IFERROR(AU14/AS14,"n.a.")</f>
        <v>n.a.</v>
      </c>
      <c r="AX14" s="23">
        <f>+_xlfn.XLOOKUP($B14,Expenses_FY25B!$B:$B,Expenses_FY25B!AB:AB)/1000</f>
        <v>0</v>
      </c>
      <c r="AY14" s="25"/>
      <c r="AZ14" s="8">
        <f t="shared" ref="AZ14:AZ16" si="10">AX14-AY14</f>
        <v>0</v>
      </c>
      <c r="BA14" s="33" t="str">
        <f>IFERROR(AZ14/AX14,"n.a.")</f>
        <v>n.a.</v>
      </c>
      <c r="BC14" s="23">
        <f>+_xlfn.XLOOKUP($B14,Expenses_FY25B!$B:$B,Expenses_FY25B!AC:AC)/1000</f>
        <v>0</v>
      </c>
      <c r="BD14" s="25"/>
      <c r="BE14" s="8">
        <f t="shared" ref="BE14:BE16" si="11">BC14-BD14</f>
        <v>0</v>
      </c>
      <c r="BF14" s="33" t="str">
        <f>IFERROR(BE14/BC14,"n.a.")</f>
        <v>n.a.</v>
      </c>
      <c r="BH14" s="23">
        <f>+_xlfn.XLOOKUP($B14,Expenses_FY25B!$B:$B,Expenses_FY25B!AD:AD)/1000</f>
        <v>0</v>
      </c>
      <c r="BI14" s="25"/>
      <c r="BJ14" s="8">
        <f t="shared" ref="BJ14:BJ16" si="12">BH14-BI14</f>
        <v>0</v>
      </c>
      <c r="BK14" s="33" t="str">
        <f>IFERROR(BJ14/BH14,"n.a.")</f>
        <v>n.a.</v>
      </c>
      <c r="BM14" s="38">
        <f t="shared" ref="BM14:BM15" si="13">+E14+J14+O14+T14+Y14+AD14+AI14+AN14+AS14+AX14+BC14+BH14</f>
        <v>0</v>
      </c>
      <c r="BN14" s="38">
        <f t="shared" ref="BN14:BN15" si="14">+F14+K14+P14+U14+Z14+AE14+AJ14+AO14+AT14+AY14+BD14+BI14</f>
        <v>0</v>
      </c>
      <c r="BO14" s="8">
        <f t="shared" ref="BO14:BO15" si="15">BM14-BN14</f>
        <v>0</v>
      </c>
      <c r="BP14" s="33" t="str">
        <f t="shared" si="0"/>
        <v>n.a.</v>
      </c>
    </row>
    <row r="15" spans="1:68" x14ac:dyDescent="0.25">
      <c r="B15">
        <f>+MAX($B$1:B14)+1</f>
        <v>42</v>
      </c>
      <c r="C15" s="15" t="s">
        <v>76</v>
      </c>
      <c r="E15" s="23">
        <f>+_xlfn.XLOOKUP($B15,Expenses_FY25B!$B:$B,Expenses_FY25B!S:S)/1000</f>
        <v>0</v>
      </c>
      <c r="F15" s="25"/>
      <c r="G15" s="8">
        <f t="shared" si="1"/>
        <v>0</v>
      </c>
      <c r="H15" s="33" t="str">
        <f>IFERROR(G15/E15,"n.a.")</f>
        <v>n.a.</v>
      </c>
      <c r="J15" s="23">
        <f>+_xlfn.XLOOKUP($B15,Expenses_FY25B!$B:$B,Expenses_FY25B!T:T)/1000</f>
        <v>0</v>
      </c>
      <c r="K15" s="25"/>
      <c r="L15" s="8">
        <f t="shared" si="2"/>
        <v>0</v>
      </c>
      <c r="M15" s="33" t="str">
        <f>IFERROR(L15/J15,"n.a.")</f>
        <v>n.a.</v>
      </c>
      <c r="O15" s="23">
        <f>+_xlfn.XLOOKUP($B15,Expenses_FY25B!$B:$B,Expenses_FY25B!U:U)/1000</f>
        <v>0</v>
      </c>
      <c r="P15" s="25"/>
      <c r="Q15" s="8">
        <f t="shared" si="3"/>
        <v>0</v>
      </c>
      <c r="R15" s="33" t="str">
        <f>IFERROR(Q15/O15,"n.a.")</f>
        <v>n.a.</v>
      </c>
      <c r="T15" s="23">
        <f>+_xlfn.XLOOKUP($B15,Expenses_FY25B!$B:$B,Expenses_FY25B!V:V)/1000</f>
        <v>0</v>
      </c>
      <c r="U15" s="25"/>
      <c r="V15" s="8">
        <f t="shared" si="4"/>
        <v>0</v>
      </c>
      <c r="W15" s="33" t="str">
        <f>IFERROR(V15/T15,"n.a.")</f>
        <v>n.a.</v>
      </c>
      <c r="Y15" s="23">
        <f>+_xlfn.XLOOKUP($B15,Expenses_FY25B!$B:$B,Expenses_FY25B!W:W)/1000</f>
        <v>0</v>
      </c>
      <c r="Z15" s="25"/>
      <c r="AA15" s="8">
        <f t="shared" si="5"/>
        <v>0</v>
      </c>
      <c r="AB15" s="33" t="str">
        <f>IFERROR(AA15/Y15,"n.a.")</f>
        <v>n.a.</v>
      </c>
      <c r="AD15" s="23">
        <f>+_xlfn.XLOOKUP($B15,Expenses_FY25B!$B:$B,Expenses_FY25B!X:X)/1000</f>
        <v>0</v>
      </c>
      <c r="AE15" s="25"/>
      <c r="AF15" s="8">
        <f t="shared" si="6"/>
        <v>0</v>
      </c>
      <c r="AG15" s="33" t="str">
        <f>IFERROR(AF15/AD15,"n.a.")</f>
        <v>n.a.</v>
      </c>
      <c r="AI15" s="23">
        <f>+_xlfn.XLOOKUP($B15,Expenses_FY25B!$B:$B,Expenses_FY25B!Y:Y)/1000</f>
        <v>0</v>
      </c>
      <c r="AJ15" s="25"/>
      <c r="AK15" s="8">
        <f t="shared" si="7"/>
        <v>0</v>
      </c>
      <c r="AL15" s="33" t="str">
        <f>IFERROR(AK15/AI15,"n.a.")</f>
        <v>n.a.</v>
      </c>
      <c r="AN15" s="23">
        <f>+_xlfn.XLOOKUP($B15,Expenses_FY25B!$B:$B,Expenses_FY25B!Z:Z)/1000</f>
        <v>0</v>
      </c>
      <c r="AO15" s="25"/>
      <c r="AP15" s="8">
        <f t="shared" si="8"/>
        <v>0</v>
      </c>
      <c r="AQ15" s="33" t="str">
        <f>IFERROR(AP15/AN15,"n.a.")</f>
        <v>n.a.</v>
      </c>
      <c r="AS15" s="23">
        <f>+_xlfn.XLOOKUP($B15,Expenses_FY25B!$B:$B,Expenses_FY25B!AA:AA)/1000</f>
        <v>0</v>
      </c>
      <c r="AT15" s="25"/>
      <c r="AU15" s="8">
        <f t="shared" si="9"/>
        <v>0</v>
      </c>
      <c r="AV15" s="33" t="str">
        <f>IFERROR(AU15/AS15,"n.a.")</f>
        <v>n.a.</v>
      </c>
      <c r="AX15" s="23">
        <f>+_xlfn.XLOOKUP($B15,Expenses_FY25B!$B:$B,Expenses_FY25B!AB:AB)/1000</f>
        <v>0</v>
      </c>
      <c r="AY15" s="25"/>
      <c r="AZ15" s="8">
        <f t="shared" si="10"/>
        <v>0</v>
      </c>
      <c r="BA15" s="33" t="str">
        <f>IFERROR(AZ15/AX15,"n.a.")</f>
        <v>n.a.</v>
      </c>
      <c r="BC15" s="23">
        <f>+_xlfn.XLOOKUP($B15,Expenses_FY25B!$B:$B,Expenses_FY25B!AC:AC)/1000</f>
        <v>0</v>
      </c>
      <c r="BD15" s="25"/>
      <c r="BE15" s="8">
        <f t="shared" si="11"/>
        <v>0</v>
      </c>
      <c r="BF15" s="33" t="str">
        <f>IFERROR(BE15/BC15,"n.a.")</f>
        <v>n.a.</v>
      </c>
      <c r="BH15" s="23">
        <f>+_xlfn.XLOOKUP($B15,Expenses_FY25B!$B:$B,Expenses_FY25B!AD:AD)/1000</f>
        <v>0</v>
      </c>
      <c r="BI15" s="25"/>
      <c r="BJ15" s="8">
        <f t="shared" si="12"/>
        <v>0</v>
      </c>
      <c r="BK15" s="33" t="str">
        <f>IFERROR(BJ15/BH15,"n.a.")</f>
        <v>n.a.</v>
      </c>
      <c r="BM15" s="38">
        <f t="shared" si="13"/>
        <v>0</v>
      </c>
      <c r="BN15" s="38">
        <f t="shared" si="14"/>
        <v>0</v>
      </c>
      <c r="BO15" s="8">
        <f t="shared" si="15"/>
        <v>0</v>
      </c>
      <c r="BP15" s="33" t="str">
        <f t="shared" si="0"/>
        <v>n.a.</v>
      </c>
    </row>
    <row r="16" spans="1:68" s="5" customFormat="1" ht="15.75" thickBot="1" x14ac:dyDescent="0.3">
      <c r="C16" s="97" t="s">
        <v>77</v>
      </c>
      <c r="E16" s="30">
        <f>SUM(E13:E15)</f>
        <v>0</v>
      </c>
      <c r="F16" s="30">
        <f>SUM(F13:F15)</f>
        <v>0</v>
      </c>
      <c r="G16" s="30">
        <f t="shared" si="1"/>
        <v>0</v>
      </c>
      <c r="H16" s="37" t="str">
        <f>IFERROR(G16/E16,"")</f>
        <v/>
      </c>
      <c r="J16" s="30">
        <f>SUM(J13:J15)</f>
        <v>0</v>
      </c>
      <c r="K16" s="30">
        <f>SUM(K13:K15)</f>
        <v>0</v>
      </c>
      <c r="L16" s="30">
        <f t="shared" si="2"/>
        <v>0</v>
      </c>
      <c r="M16" s="37" t="str">
        <f>IFERROR(L16/J16,"")</f>
        <v/>
      </c>
      <c r="O16" s="30">
        <f>SUM(O13:O15)</f>
        <v>0</v>
      </c>
      <c r="P16" s="40">
        <f>SUM(P13:P15)</f>
        <v>0</v>
      </c>
      <c r="Q16" s="30">
        <f t="shared" si="3"/>
        <v>0</v>
      </c>
      <c r="R16" s="37" t="str">
        <f>IFERROR(Q16/O16,"")</f>
        <v/>
      </c>
      <c r="T16" s="30">
        <f>SUM(T13:T15)</f>
        <v>0</v>
      </c>
      <c r="U16" s="40">
        <f>SUM(U13:U15)</f>
        <v>0</v>
      </c>
      <c r="V16" s="30">
        <f t="shared" si="4"/>
        <v>0</v>
      </c>
      <c r="W16" s="37" t="str">
        <f>IFERROR(V16/T16,"")</f>
        <v/>
      </c>
      <c r="Y16" s="30">
        <f>SUM(Y13:Y15)</f>
        <v>0</v>
      </c>
      <c r="Z16" s="40">
        <f>SUM(Z13:Z15)</f>
        <v>0</v>
      </c>
      <c r="AA16" s="30">
        <f t="shared" si="5"/>
        <v>0</v>
      </c>
      <c r="AB16" s="37" t="str">
        <f>IFERROR(AA16/Y16,"")</f>
        <v/>
      </c>
      <c r="AD16" s="30">
        <f>SUM(AD13:AD15)</f>
        <v>0</v>
      </c>
      <c r="AE16" s="40">
        <f>SUM(AE13:AE15)</f>
        <v>0</v>
      </c>
      <c r="AF16" s="30">
        <f t="shared" si="6"/>
        <v>0</v>
      </c>
      <c r="AG16" s="37" t="str">
        <f>IFERROR(AF16/AD16,"")</f>
        <v/>
      </c>
      <c r="AI16" s="30">
        <f>SUM(AI13:AI15)</f>
        <v>0</v>
      </c>
      <c r="AJ16" s="40">
        <f>SUM(AJ13:AJ15)</f>
        <v>0</v>
      </c>
      <c r="AK16" s="30">
        <f t="shared" si="7"/>
        <v>0</v>
      </c>
      <c r="AL16" s="37" t="str">
        <f>IFERROR(AK16/AI16,"")</f>
        <v/>
      </c>
      <c r="AN16" s="30">
        <f>SUM(AN13:AN15)</f>
        <v>0</v>
      </c>
      <c r="AO16" s="40">
        <f>SUM(AO13:AO15)</f>
        <v>0</v>
      </c>
      <c r="AP16" s="30">
        <f t="shared" si="8"/>
        <v>0</v>
      </c>
      <c r="AQ16" s="37" t="str">
        <f>IFERROR(AP16/AN16,"")</f>
        <v/>
      </c>
      <c r="AS16" s="30">
        <f>SUM(AS13:AS15)</f>
        <v>0</v>
      </c>
      <c r="AT16" s="40">
        <f>SUM(AT13:AT15)</f>
        <v>0</v>
      </c>
      <c r="AU16" s="30">
        <f t="shared" si="9"/>
        <v>0</v>
      </c>
      <c r="AV16" s="37" t="str">
        <f>IFERROR(AU16/AS16,"")</f>
        <v/>
      </c>
      <c r="AX16" s="30">
        <f>SUM(AX13:AX15)</f>
        <v>0</v>
      </c>
      <c r="AY16" s="40">
        <f>SUM(AY13:AY15)</f>
        <v>0</v>
      </c>
      <c r="AZ16" s="30">
        <f t="shared" si="10"/>
        <v>0</v>
      </c>
      <c r="BA16" s="37" t="str">
        <f>IFERROR(AZ16/AX16,"")</f>
        <v/>
      </c>
      <c r="BC16" s="30">
        <f>SUM(BC13:BC15)</f>
        <v>0</v>
      </c>
      <c r="BD16" s="40">
        <f>SUM(BD13:BD15)</f>
        <v>0</v>
      </c>
      <c r="BE16" s="30">
        <f t="shared" si="11"/>
        <v>0</v>
      </c>
      <c r="BF16" s="37" t="str">
        <f>IFERROR(BE16/BC16,"")</f>
        <v/>
      </c>
      <c r="BH16" s="30">
        <f>SUM(BH13:BH15)</f>
        <v>0</v>
      </c>
      <c r="BI16" s="40">
        <f>SUM(BI13:BI15)</f>
        <v>0</v>
      </c>
      <c r="BJ16" s="30">
        <f t="shared" si="12"/>
        <v>0</v>
      </c>
      <c r="BK16" s="37" t="str">
        <f>IFERROR(BJ16/BH16,"")</f>
        <v/>
      </c>
      <c r="BM16" s="238">
        <f>SUM(BM13:BM15)</f>
        <v>0</v>
      </c>
      <c r="BN16" s="40">
        <f>SUM(BN13:BN15)</f>
        <v>0</v>
      </c>
      <c r="BO16" s="30">
        <f>BM16-BN16</f>
        <v>0</v>
      </c>
      <c r="BP16" s="37" t="str">
        <f>IFERROR(BO16/BM16,"")</f>
        <v/>
      </c>
    </row>
    <row r="17" spans="2:68" ht="15.75" thickTop="1" x14ac:dyDescent="0.25">
      <c r="C17" s="5"/>
      <c r="D17" s="5"/>
      <c r="E17" s="14"/>
      <c r="F17" s="17"/>
      <c r="G17" s="18"/>
      <c r="H17" s="11"/>
      <c r="J17" s="14"/>
      <c r="K17" s="17"/>
      <c r="L17" s="18"/>
      <c r="M17" s="11"/>
      <c r="O17" s="14"/>
      <c r="P17" s="17"/>
      <c r="Q17" s="18"/>
      <c r="R17" s="11"/>
      <c r="T17" s="14"/>
      <c r="U17" s="17"/>
      <c r="V17" s="18"/>
      <c r="W17" s="39"/>
      <c r="Y17" s="14"/>
      <c r="Z17" s="17"/>
      <c r="AA17" s="18"/>
      <c r="AB17" s="39"/>
      <c r="AD17" s="14"/>
      <c r="AE17" s="17"/>
      <c r="AF17" s="18"/>
      <c r="AG17" s="39"/>
      <c r="AI17" s="14"/>
      <c r="AJ17" s="17"/>
      <c r="AK17" s="18"/>
      <c r="AL17" s="39"/>
      <c r="AN17" s="14"/>
      <c r="AO17" s="17"/>
      <c r="AP17" s="18"/>
      <c r="AQ17" s="39"/>
      <c r="AS17" s="14"/>
      <c r="AT17" s="17"/>
      <c r="AU17" s="18"/>
      <c r="AV17" s="39"/>
      <c r="AX17" s="14"/>
      <c r="AY17" s="17"/>
      <c r="AZ17" s="18"/>
      <c r="BA17" s="39"/>
      <c r="BC17" s="14"/>
      <c r="BD17" s="17"/>
      <c r="BE17" s="18"/>
      <c r="BF17" s="39"/>
      <c r="BH17" s="14"/>
      <c r="BI17" s="17"/>
      <c r="BJ17" s="18"/>
      <c r="BK17" s="39"/>
      <c r="BM17" s="100"/>
      <c r="BO17" s="18"/>
    </row>
    <row r="18" spans="2:68" x14ac:dyDescent="0.25">
      <c r="B18" s="70" t="s">
        <v>30</v>
      </c>
      <c r="C18" s="96" t="s">
        <v>78</v>
      </c>
      <c r="D18" s="5"/>
      <c r="E18" s="14"/>
      <c r="F18" s="17"/>
      <c r="G18" s="18"/>
      <c r="H18" s="11"/>
      <c r="J18" s="14"/>
      <c r="K18" s="17"/>
      <c r="L18" s="18"/>
      <c r="M18" s="11"/>
      <c r="O18" s="14"/>
      <c r="P18" s="17"/>
      <c r="Q18" s="18"/>
      <c r="R18" s="11"/>
      <c r="T18" s="14"/>
      <c r="U18" s="17"/>
      <c r="V18" s="18"/>
      <c r="W18" s="39"/>
      <c r="Y18" s="14"/>
      <c r="Z18" s="17"/>
      <c r="AA18" s="18"/>
      <c r="AB18" s="39"/>
      <c r="AD18" s="14"/>
      <c r="AE18" s="17"/>
      <c r="AF18" s="18"/>
      <c r="AG18" s="39"/>
      <c r="AI18" s="14"/>
      <c r="AJ18" s="17"/>
      <c r="AK18" s="18"/>
      <c r="AL18" s="39"/>
      <c r="AN18" s="14"/>
      <c r="AO18" s="17"/>
      <c r="AP18" s="18"/>
      <c r="AQ18" s="39"/>
      <c r="AS18" s="14"/>
      <c r="AT18" s="17"/>
      <c r="AU18" s="18"/>
      <c r="AV18" s="39"/>
      <c r="AX18" s="14"/>
      <c r="AY18" s="17"/>
      <c r="AZ18" s="18"/>
      <c r="BA18" s="39"/>
      <c r="BC18" s="14"/>
      <c r="BD18" s="17"/>
      <c r="BE18" s="18"/>
      <c r="BF18" s="39"/>
      <c r="BH18" s="14"/>
      <c r="BI18" s="17"/>
      <c r="BJ18" s="18"/>
      <c r="BK18" s="39"/>
      <c r="BM18" s="100"/>
      <c r="BO18" s="18"/>
    </row>
    <row r="19" spans="2:68" x14ac:dyDescent="0.25">
      <c r="C19" s="97" t="s">
        <v>79</v>
      </c>
      <c r="D19" s="6"/>
      <c r="E19" s="14"/>
      <c r="F19" s="17"/>
      <c r="G19" s="18"/>
      <c r="H19" s="11"/>
      <c r="J19" s="14"/>
      <c r="K19" s="17"/>
      <c r="L19" s="18"/>
      <c r="M19" s="11"/>
      <c r="O19" s="14"/>
      <c r="P19" s="17"/>
      <c r="Q19" s="18"/>
      <c r="R19" s="11"/>
      <c r="T19" s="14"/>
      <c r="U19" s="17"/>
      <c r="V19" s="18"/>
      <c r="W19" s="39"/>
      <c r="Y19" s="14"/>
      <c r="Z19" s="17"/>
      <c r="AA19" s="18"/>
      <c r="AB19" s="39"/>
      <c r="AD19" s="14"/>
      <c r="AE19" s="17"/>
      <c r="AF19" s="18"/>
      <c r="AG19" s="39"/>
      <c r="AI19" s="14"/>
      <c r="AJ19" s="17"/>
      <c r="AK19" s="18"/>
      <c r="AL19" s="39"/>
      <c r="AN19" s="14"/>
      <c r="AO19" s="17"/>
      <c r="AP19" s="18"/>
      <c r="AQ19" s="39"/>
      <c r="AS19" s="14"/>
      <c r="AT19" s="17"/>
      <c r="AU19" s="18"/>
      <c r="AV19" s="39"/>
      <c r="AX19" s="14"/>
      <c r="AY19" s="17"/>
      <c r="AZ19" s="18"/>
      <c r="BA19" s="39"/>
      <c r="BC19" s="14"/>
      <c r="BD19" s="17"/>
      <c r="BE19" s="18"/>
      <c r="BF19" s="39"/>
      <c r="BH19" s="14"/>
      <c r="BI19" s="17"/>
      <c r="BJ19" s="18"/>
      <c r="BK19" s="39"/>
      <c r="BM19" s="100"/>
      <c r="BO19" s="18"/>
    </row>
    <row r="20" spans="2:68" x14ac:dyDescent="0.25">
      <c r="B20">
        <f>+MAX($B$1:B19)+1</f>
        <v>43</v>
      </c>
      <c r="C20" s="15" t="s">
        <v>80</v>
      </c>
      <c r="E20" s="23">
        <f>+_xlfn.XLOOKUP($B20,Expenses_FY25B!$B:$B,Expenses_FY25B!S:S)/1000</f>
        <v>0</v>
      </c>
      <c r="F20" s="25"/>
      <c r="G20" s="8">
        <f t="shared" ref="G20:G25" si="16">E20-F20</f>
        <v>0</v>
      </c>
      <c r="H20" s="33" t="str">
        <f t="shared" ref="H20:H24" si="17">IFERROR(G20/E20,"n.a.")</f>
        <v>n.a.</v>
      </c>
      <c r="J20" s="23">
        <f>+_xlfn.XLOOKUP($B20,Expenses_FY25B!$B:$B,Expenses_FY25B!T:T)/1000</f>
        <v>0</v>
      </c>
      <c r="K20" s="25"/>
      <c r="L20" s="8">
        <f t="shared" ref="L20:L25" si="18">J20-K20</f>
        <v>0</v>
      </c>
      <c r="M20" s="33" t="str">
        <f t="shared" ref="M20:M22" si="19">IFERROR(L20/J20,"n.a.")</f>
        <v>n.a.</v>
      </c>
      <c r="O20" s="23">
        <f>+_xlfn.XLOOKUP($B20,Expenses_FY25B!$B:$B,Expenses_FY25B!U:U)/1000</f>
        <v>0</v>
      </c>
      <c r="P20" s="25"/>
      <c r="Q20" s="8">
        <f t="shared" ref="Q20:Q25" si="20">O20-P20</f>
        <v>0</v>
      </c>
      <c r="R20" s="33" t="str">
        <f t="shared" ref="R20:R22" si="21">IFERROR(Q20/O20,"n.a.")</f>
        <v>n.a.</v>
      </c>
      <c r="T20" s="23">
        <f>+_xlfn.XLOOKUP($B20,Expenses_FY25B!$B:$B,Expenses_FY25B!V:V)/1000</f>
        <v>0</v>
      </c>
      <c r="U20" s="25"/>
      <c r="V20" s="8">
        <f t="shared" ref="V20:V25" si="22">T20-U20</f>
        <v>0</v>
      </c>
      <c r="W20" s="33" t="str">
        <f t="shared" ref="W20:W22" si="23">IFERROR(V20/T20,"n.a.")</f>
        <v>n.a.</v>
      </c>
      <c r="Y20" s="23">
        <f>+_xlfn.XLOOKUP($B20,Expenses_FY25B!$B:$B,Expenses_FY25B!W:W)/1000</f>
        <v>0</v>
      </c>
      <c r="Z20" s="25"/>
      <c r="AA20" s="8">
        <f t="shared" ref="AA20:AA25" si="24">Y20-Z20</f>
        <v>0</v>
      </c>
      <c r="AB20" s="33" t="str">
        <f t="shared" ref="AB20:AB22" si="25">IFERROR(AA20/Y20,"n.a.")</f>
        <v>n.a.</v>
      </c>
      <c r="AD20" s="23">
        <f>+_xlfn.XLOOKUP($B20,Expenses_FY25B!$B:$B,Expenses_FY25B!X:X)/1000</f>
        <v>0</v>
      </c>
      <c r="AE20" s="25"/>
      <c r="AF20" s="8">
        <f t="shared" ref="AF20:AF25" si="26">AD20-AE20</f>
        <v>0</v>
      </c>
      <c r="AG20" s="33" t="str">
        <f t="shared" ref="AG20:AG24" si="27">IFERROR(AF20/AD20,"n.a.")</f>
        <v>n.a.</v>
      </c>
      <c r="AI20" s="23">
        <f>+_xlfn.XLOOKUP($B20,Expenses_FY25B!$B:$B,Expenses_FY25B!Y:Y)/1000</f>
        <v>0</v>
      </c>
      <c r="AJ20" s="25"/>
      <c r="AK20" s="8">
        <f t="shared" ref="AK20:AK25" si="28">AI20-AJ20</f>
        <v>0</v>
      </c>
      <c r="AL20" s="33" t="str">
        <f t="shared" ref="AL20" si="29">IFERROR(AK20/AI20,"n.a.")</f>
        <v>n.a.</v>
      </c>
      <c r="AN20" s="23">
        <f>+_xlfn.XLOOKUP($B20,Expenses_FY25B!$B:$B,Expenses_FY25B!Z:Z)/1000</f>
        <v>0</v>
      </c>
      <c r="AO20" s="25"/>
      <c r="AP20" s="8">
        <f t="shared" ref="AP20:AP25" si="30">AN20-AO20</f>
        <v>0</v>
      </c>
      <c r="AQ20" s="33" t="str">
        <f t="shared" ref="AQ20:AQ24" si="31">IFERROR(AP20/AN20,"n.a.")</f>
        <v>n.a.</v>
      </c>
      <c r="AS20" s="23">
        <f>+_xlfn.XLOOKUP($B20,Expenses_FY25B!$B:$B,Expenses_FY25B!AA:AA)/1000</f>
        <v>0</v>
      </c>
      <c r="AT20" s="25"/>
      <c r="AU20" s="8">
        <f t="shared" ref="AU20:AU25" si="32">AS20-AT20</f>
        <v>0</v>
      </c>
      <c r="AV20" s="33" t="str">
        <f t="shared" ref="AV20:AV24" si="33">IFERROR(AU20/AS20,"n.a.")</f>
        <v>n.a.</v>
      </c>
      <c r="AX20" s="23">
        <f>+_xlfn.XLOOKUP($B20,Expenses_FY25B!$B:$B,Expenses_FY25B!AB:AB)/1000</f>
        <v>0</v>
      </c>
      <c r="AY20" s="25"/>
      <c r="AZ20" s="8">
        <f t="shared" ref="AZ20:AZ25" si="34">AX20-AY20</f>
        <v>0</v>
      </c>
      <c r="BA20" s="33" t="str">
        <f t="shared" ref="BA20:BA24" si="35">IFERROR(AZ20/AX20,"n.a.")</f>
        <v>n.a.</v>
      </c>
      <c r="BC20" s="23">
        <f>+_xlfn.XLOOKUP($B20,Expenses_FY25B!$B:$B,Expenses_FY25B!AC:AC)/1000</f>
        <v>0</v>
      </c>
      <c r="BD20" s="25"/>
      <c r="BE20" s="8">
        <f t="shared" ref="BE20:BE25" si="36">BC20-BD20</f>
        <v>0</v>
      </c>
      <c r="BF20" s="33" t="str">
        <f t="shared" ref="BF20:BF24" si="37">IFERROR(BE20/BC20,"n.a.")</f>
        <v>n.a.</v>
      </c>
      <c r="BH20" s="23">
        <f>+_xlfn.XLOOKUP($B20,Expenses_FY25B!$B:$B,Expenses_FY25B!AD:AD)/1000</f>
        <v>0</v>
      </c>
      <c r="BI20" s="25"/>
      <c r="BJ20" s="8">
        <f t="shared" ref="BJ20:BJ25" si="38">BH20-BI20</f>
        <v>0</v>
      </c>
      <c r="BK20" s="33" t="str">
        <f t="shared" ref="BK20:BK24" si="39">IFERROR(BJ20/BH20,"n.a.")</f>
        <v>n.a.</v>
      </c>
      <c r="BM20" s="38">
        <f t="shared" ref="BM20:BM24" si="40">+E20+J20+O20+T20+Y20+AD20+AI20+AN20+AS20+AX20+BC20+BH20</f>
        <v>0</v>
      </c>
      <c r="BN20" s="38">
        <f>+F20+K20+P20+U20+Z20+AE20+AJ20+AO20+AT20+AY20+BD20+BI20</f>
        <v>0</v>
      </c>
      <c r="BO20" s="8">
        <f t="shared" ref="BO20:BO25" si="41">BM20-BN20</f>
        <v>0</v>
      </c>
      <c r="BP20" s="33" t="str">
        <f t="shared" ref="BP20:BP24" si="42">IFERROR(BO20/BM20,"n.a.")</f>
        <v>n.a.</v>
      </c>
    </row>
    <row r="21" spans="2:68" x14ac:dyDescent="0.25">
      <c r="B21">
        <f>+MAX($B$1:B20)+1</f>
        <v>44</v>
      </c>
      <c r="C21" s="15" t="s">
        <v>81</v>
      </c>
      <c r="E21" s="23">
        <f>+_xlfn.XLOOKUP($B21,Expenses_FY25B!$B:$B,Expenses_FY25B!S:S)/1000</f>
        <v>0</v>
      </c>
      <c r="F21" s="25"/>
      <c r="G21" s="8">
        <f t="shared" si="16"/>
        <v>0</v>
      </c>
      <c r="H21" s="33" t="str">
        <f t="shared" si="17"/>
        <v>n.a.</v>
      </c>
      <c r="J21" s="23">
        <f>+_xlfn.XLOOKUP($B21,Expenses_FY25B!$B:$B,Expenses_FY25B!T:T)/1000</f>
        <v>0</v>
      </c>
      <c r="K21" s="25"/>
      <c r="L21" s="8">
        <f t="shared" si="18"/>
        <v>0</v>
      </c>
      <c r="M21" s="33" t="str">
        <f t="shared" si="19"/>
        <v>n.a.</v>
      </c>
      <c r="O21" s="23">
        <f>+_xlfn.XLOOKUP($B21,Expenses_FY25B!$B:$B,Expenses_FY25B!U:U)/1000</f>
        <v>0</v>
      </c>
      <c r="P21" s="25"/>
      <c r="Q21" s="8">
        <f t="shared" si="20"/>
        <v>0</v>
      </c>
      <c r="R21" s="33" t="str">
        <f t="shared" si="21"/>
        <v>n.a.</v>
      </c>
      <c r="T21" s="23">
        <f>+_xlfn.XLOOKUP($B21,Expenses_FY25B!$B:$B,Expenses_FY25B!V:V)/1000</f>
        <v>0</v>
      </c>
      <c r="U21" s="25"/>
      <c r="V21" s="8">
        <f t="shared" si="22"/>
        <v>0</v>
      </c>
      <c r="W21" s="33" t="str">
        <f t="shared" si="23"/>
        <v>n.a.</v>
      </c>
      <c r="Y21" s="23">
        <f>+_xlfn.XLOOKUP($B21,Expenses_FY25B!$B:$B,Expenses_FY25B!W:W)/1000</f>
        <v>0</v>
      </c>
      <c r="Z21" s="25"/>
      <c r="AA21" s="8">
        <f t="shared" si="24"/>
        <v>0</v>
      </c>
      <c r="AB21" s="33" t="str">
        <f t="shared" si="25"/>
        <v>n.a.</v>
      </c>
      <c r="AD21" s="23">
        <f>+_xlfn.XLOOKUP($B21,Expenses_FY25B!$B:$B,Expenses_FY25B!X:X)/1000</f>
        <v>0</v>
      </c>
      <c r="AE21" s="25"/>
      <c r="AF21" s="8">
        <f t="shared" si="26"/>
        <v>0</v>
      </c>
      <c r="AG21" s="33" t="str">
        <f t="shared" si="27"/>
        <v>n.a.</v>
      </c>
      <c r="AI21" s="23">
        <f>+_xlfn.XLOOKUP($B21,Expenses_FY25B!$B:$B,Expenses_FY25B!Y:Y)/1000</f>
        <v>0</v>
      </c>
      <c r="AJ21" s="25"/>
      <c r="AK21" s="8">
        <f t="shared" si="28"/>
        <v>0</v>
      </c>
      <c r="AL21" s="33"/>
      <c r="AN21" s="23">
        <f>+_xlfn.XLOOKUP($B21,Expenses_FY25B!$B:$B,Expenses_FY25B!Z:Z)/1000</f>
        <v>0</v>
      </c>
      <c r="AO21" s="25"/>
      <c r="AP21" s="8">
        <f t="shared" si="30"/>
        <v>0</v>
      </c>
      <c r="AQ21" s="33" t="str">
        <f t="shared" si="31"/>
        <v>n.a.</v>
      </c>
      <c r="AS21" s="23">
        <f>+_xlfn.XLOOKUP($B21,Expenses_FY25B!$B:$B,Expenses_FY25B!AA:AA)/1000</f>
        <v>0</v>
      </c>
      <c r="AT21" s="25"/>
      <c r="AU21" s="8">
        <f t="shared" si="32"/>
        <v>0</v>
      </c>
      <c r="AV21" s="33" t="str">
        <f t="shared" si="33"/>
        <v>n.a.</v>
      </c>
      <c r="AX21" s="23">
        <f>+_xlfn.XLOOKUP($B21,Expenses_FY25B!$B:$B,Expenses_FY25B!AB:AB)/1000</f>
        <v>0</v>
      </c>
      <c r="AY21" s="25"/>
      <c r="AZ21" s="8">
        <f t="shared" si="34"/>
        <v>0</v>
      </c>
      <c r="BA21" s="33" t="str">
        <f t="shared" si="35"/>
        <v>n.a.</v>
      </c>
      <c r="BC21" s="23">
        <f>+_xlfn.XLOOKUP($B21,Expenses_FY25B!$B:$B,Expenses_FY25B!AC:AC)/1000</f>
        <v>0</v>
      </c>
      <c r="BD21" s="25"/>
      <c r="BE21" s="8">
        <f t="shared" si="36"/>
        <v>0</v>
      </c>
      <c r="BF21" s="33" t="str">
        <f t="shared" si="37"/>
        <v>n.a.</v>
      </c>
      <c r="BH21" s="23">
        <f>+_xlfn.XLOOKUP($B21,Expenses_FY25B!$B:$B,Expenses_FY25B!AD:AD)/1000</f>
        <v>0</v>
      </c>
      <c r="BI21" s="25"/>
      <c r="BJ21" s="8">
        <f t="shared" si="38"/>
        <v>0</v>
      </c>
      <c r="BK21" s="33" t="str">
        <f t="shared" si="39"/>
        <v>n.a.</v>
      </c>
      <c r="BM21" s="38">
        <f t="shared" si="40"/>
        <v>0</v>
      </c>
      <c r="BN21" s="38">
        <f t="shared" ref="BN21:BN24" si="43">+F21+K21+P21+U21+Z21+AE21+AJ21+AO21+AT21+AY21+BD21+BI21</f>
        <v>0</v>
      </c>
      <c r="BO21" s="8">
        <f t="shared" si="41"/>
        <v>0</v>
      </c>
      <c r="BP21" s="33" t="str">
        <f t="shared" si="42"/>
        <v>n.a.</v>
      </c>
    </row>
    <row r="22" spans="2:68" x14ac:dyDescent="0.25">
      <c r="B22">
        <f>+MAX($B$1:B21)+1</f>
        <v>45</v>
      </c>
      <c r="C22" s="15" t="s">
        <v>82</v>
      </c>
      <c r="E22" s="23">
        <f>+_xlfn.XLOOKUP($B22,Expenses_FY25B!$B:$B,Expenses_FY25B!S:S)/1000</f>
        <v>0</v>
      </c>
      <c r="F22" s="25"/>
      <c r="G22" s="8">
        <f t="shared" si="16"/>
        <v>0</v>
      </c>
      <c r="H22" s="33" t="str">
        <f t="shared" si="17"/>
        <v>n.a.</v>
      </c>
      <c r="J22" s="23">
        <f>+_xlfn.XLOOKUP($B22,Expenses_FY25B!$B:$B,Expenses_FY25B!T:T)/1000</f>
        <v>0</v>
      </c>
      <c r="K22" s="25"/>
      <c r="L22" s="8">
        <f t="shared" si="18"/>
        <v>0</v>
      </c>
      <c r="M22" s="33" t="str">
        <f t="shared" si="19"/>
        <v>n.a.</v>
      </c>
      <c r="O22" s="23">
        <f>+_xlfn.XLOOKUP($B22,Expenses_FY25B!$B:$B,Expenses_FY25B!U:U)/1000</f>
        <v>0</v>
      </c>
      <c r="P22" s="25"/>
      <c r="Q22" s="8">
        <f t="shared" si="20"/>
        <v>0</v>
      </c>
      <c r="R22" s="33" t="str">
        <f t="shared" si="21"/>
        <v>n.a.</v>
      </c>
      <c r="T22" s="23">
        <f>+_xlfn.XLOOKUP($B22,Expenses_FY25B!$B:$B,Expenses_FY25B!V:V)/1000</f>
        <v>0</v>
      </c>
      <c r="U22" s="25"/>
      <c r="V22" s="8">
        <f t="shared" si="22"/>
        <v>0</v>
      </c>
      <c r="W22" s="33" t="str">
        <f t="shared" si="23"/>
        <v>n.a.</v>
      </c>
      <c r="Y22" s="23">
        <f>+_xlfn.XLOOKUP($B22,Expenses_FY25B!$B:$B,Expenses_FY25B!W:W)/1000</f>
        <v>0</v>
      </c>
      <c r="Z22" s="25"/>
      <c r="AA22" s="8">
        <f t="shared" si="24"/>
        <v>0</v>
      </c>
      <c r="AB22" s="33" t="str">
        <f t="shared" si="25"/>
        <v>n.a.</v>
      </c>
      <c r="AD22" s="23">
        <f>+_xlfn.XLOOKUP($B22,Expenses_FY25B!$B:$B,Expenses_FY25B!X:X)/1000</f>
        <v>0</v>
      </c>
      <c r="AE22" s="25"/>
      <c r="AF22" s="8">
        <f t="shared" si="26"/>
        <v>0</v>
      </c>
      <c r="AG22" s="33" t="str">
        <f t="shared" si="27"/>
        <v>n.a.</v>
      </c>
      <c r="AI22" s="23">
        <f>+_xlfn.XLOOKUP($B22,Expenses_FY25B!$B:$B,Expenses_FY25B!Y:Y)/1000</f>
        <v>0</v>
      </c>
      <c r="AJ22" s="25"/>
      <c r="AK22" s="8">
        <f t="shared" si="28"/>
        <v>0</v>
      </c>
      <c r="AL22" s="33"/>
      <c r="AN22" s="23">
        <f>+_xlfn.XLOOKUP($B22,Expenses_FY25B!$B:$B,Expenses_FY25B!Z:Z)/1000</f>
        <v>0</v>
      </c>
      <c r="AO22" s="25"/>
      <c r="AP22" s="8">
        <f t="shared" si="30"/>
        <v>0</v>
      </c>
      <c r="AQ22" s="33" t="str">
        <f t="shared" si="31"/>
        <v>n.a.</v>
      </c>
      <c r="AS22" s="23">
        <f>+_xlfn.XLOOKUP($B22,Expenses_FY25B!$B:$B,Expenses_FY25B!AA:AA)/1000</f>
        <v>0</v>
      </c>
      <c r="AT22" s="25"/>
      <c r="AU22" s="8">
        <f t="shared" si="32"/>
        <v>0</v>
      </c>
      <c r="AV22" s="33" t="str">
        <f t="shared" si="33"/>
        <v>n.a.</v>
      </c>
      <c r="AX22" s="23">
        <f>+_xlfn.XLOOKUP($B22,Expenses_FY25B!$B:$B,Expenses_FY25B!AB:AB)/1000</f>
        <v>0</v>
      </c>
      <c r="AY22" s="25"/>
      <c r="AZ22" s="8">
        <f t="shared" si="34"/>
        <v>0</v>
      </c>
      <c r="BA22" s="33" t="str">
        <f t="shared" si="35"/>
        <v>n.a.</v>
      </c>
      <c r="BC22" s="23">
        <f>+_xlfn.XLOOKUP($B22,Expenses_FY25B!$B:$B,Expenses_FY25B!AC:AC)/1000</f>
        <v>0</v>
      </c>
      <c r="BD22" s="25"/>
      <c r="BE22" s="8">
        <f t="shared" si="36"/>
        <v>0</v>
      </c>
      <c r="BF22" s="33" t="str">
        <f t="shared" si="37"/>
        <v>n.a.</v>
      </c>
      <c r="BH22" s="23">
        <f>+_xlfn.XLOOKUP($B22,Expenses_FY25B!$B:$B,Expenses_FY25B!AD:AD)/1000</f>
        <v>0</v>
      </c>
      <c r="BI22" s="25"/>
      <c r="BJ22" s="8">
        <f t="shared" si="38"/>
        <v>0</v>
      </c>
      <c r="BK22" s="33" t="str">
        <f t="shared" si="39"/>
        <v>n.a.</v>
      </c>
      <c r="BM22" s="38">
        <f t="shared" si="40"/>
        <v>0</v>
      </c>
      <c r="BN22" s="38">
        <f t="shared" si="43"/>
        <v>0</v>
      </c>
      <c r="BO22" s="8">
        <f t="shared" si="41"/>
        <v>0</v>
      </c>
      <c r="BP22" s="33" t="str">
        <f t="shared" si="42"/>
        <v>n.a.</v>
      </c>
    </row>
    <row r="23" spans="2:68" x14ac:dyDescent="0.25">
      <c r="B23">
        <f>+MAX($B$1:B22)+1</f>
        <v>46</v>
      </c>
      <c r="C23" s="15" t="s">
        <v>83</v>
      </c>
      <c r="E23" s="23">
        <f>+_xlfn.XLOOKUP($B23,Expenses_FY25B!$B:$B,Expenses_FY25B!S:S)/1000</f>
        <v>0</v>
      </c>
      <c r="F23" s="25"/>
      <c r="G23" s="8">
        <f t="shared" si="16"/>
        <v>0</v>
      </c>
      <c r="H23" s="33" t="str">
        <f t="shared" si="17"/>
        <v>n.a.</v>
      </c>
      <c r="J23" s="23">
        <f>+_xlfn.XLOOKUP($B23,Expenses_FY25B!$B:$B,Expenses_FY25B!T:T)/1000</f>
        <v>0</v>
      </c>
      <c r="K23" s="25"/>
      <c r="L23" s="8">
        <f t="shared" si="18"/>
        <v>0</v>
      </c>
      <c r="M23" s="33" t="str">
        <f t="shared" ref="M23:M24" si="44">IFERROR(L23/J23,"n.a.")</f>
        <v>n.a.</v>
      </c>
      <c r="O23" s="23">
        <f>+_xlfn.XLOOKUP($B23,Expenses_FY25B!$B:$B,Expenses_FY25B!U:U)/1000</f>
        <v>0</v>
      </c>
      <c r="P23" s="25"/>
      <c r="Q23" s="8">
        <f t="shared" si="20"/>
        <v>0</v>
      </c>
      <c r="R23" s="33" t="str">
        <f t="shared" ref="R23:R24" si="45">IFERROR(Q23/O23,"n.a.")</f>
        <v>n.a.</v>
      </c>
      <c r="T23" s="23">
        <f>+_xlfn.XLOOKUP($B23,Expenses_FY25B!$B:$B,Expenses_FY25B!V:V)/1000</f>
        <v>0</v>
      </c>
      <c r="U23" s="25"/>
      <c r="V23" s="8">
        <f t="shared" si="22"/>
        <v>0</v>
      </c>
      <c r="W23" s="33" t="str">
        <f t="shared" ref="W23:W24" si="46">IFERROR(V23/T23,"n.a.")</f>
        <v>n.a.</v>
      </c>
      <c r="Y23" s="23">
        <f>+_xlfn.XLOOKUP($B23,Expenses_FY25B!$B:$B,Expenses_FY25B!W:W)/1000</f>
        <v>0</v>
      </c>
      <c r="Z23" s="25"/>
      <c r="AA23" s="8">
        <f t="shared" si="24"/>
        <v>0</v>
      </c>
      <c r="AB23" s="33" t="str">
        <f t="shared" ref="AB23:AB24" si="47">IFERROR(AA23/Y23,"n.a.")</f>
        <v>n.a.</v>
      </c>
      <c r="AD23" s="23">
        <f>+_xlfn.XLOOKUP($B23,Expenses_FY25B!$B:$B,Expenses_FY25B!X:X)/1000</f>
        <v>0</v>
      </c>
      <c r="AE23" s="25"/>
      <c r="AF23" s="8">
        <f t="shared" si="26"/>
        <v>0</v>
      </c>
      <c r="AG23" s="33" t="str">
        <f t="shared" si="27"/>
        <v>n.a.</v>
      </c>
      <c r="AI23" s="23">
        <f>+_xlfn.XLOOKUP($B23,Expenses_FY25B!$B:$B,Expenses_FY25B!Y:Y)/1000</f>
        <v>0</v>
      </c>
      <c r="AJ23" s="25"/>
      <c r="AK23" s="8">
        <f t="shared" si="28"/>
        <v>0</v>
      </c>
      <c r="AL23" s="33" t="str">
        <f t="shared" ref="AL23:AL24" si="48">IFERROR(AK23/AI23,"n.a.")</f>
        <v>n.a.</v>
      </c>
      <c r="AN23" s="23">
        <f>+_xlfn.XLOOKUP($B23,Expenses_FY25B!$B:$B,Expenses_FY25B!Z:Z)/1000</f>
        <v>0</v>
      </c>
      <c r="AO23" s="25"/>
      <c r="AP23" s="8">
        <f t="shared" si="30"/>
        <v>0</v>
      </c>
      <c r="AQ23" s="33" t="str">
        <f t="shared" si="31"/>
        <v>n.a.</v>
      </c>
      <c r="AS23" s="23">
        <f>+_xlfn.XLOOKUP($B23,Expenses_FY25B!$B:$B,Expenses_FY25B!AA:AA)/1000</f>
        <v>0</v>
      </c>
      <c r="AT23" s="25"/>
      <c r="AU23" s="8">
        <f t="shared" si="32"/>
        <v>0</v>
      </c>
      <c r="AV23" s="33" t="str">
        <f t="shared" si="33"/>
        <v>n.a.</v>
      </c>
      <c r="AX23" s="23">
        <f>+_xlfn.XLOOKUP($B23,Expenses_FY25B!$B:$B,Expenses_FY25B!AB:AB)/1000</f>
        <v>0</v>
      </c>
      <c r="AY23" s="25"/>
      <c r="AZ23" s="8">
        <f t="shared" si="34"/>
        <v>0</v>
      </c>
      <c r="BA23" s="33" t="str">
        <f t="shared" si="35"/>
        <v>n.a.</v>
      </c>
      <c r="BC23" s="23">
        <f>+_xlfn.XLOOKUP($B23,Expenses_FY25B!$B:$B,Expenses_FY25B!AC:AC)/1000</f>
        <v>0</v>
      </c>
      <c r="BD23" s="25"/>
      <c r="BE23" s="8">
        <f t="shared" si="36"/>
        <v>0</v>
      </c>
      <c r="BF23" s="33" t="str">
        <f t="shared" si="37"/>
        <v>n.a.</v>
      </c>
      <c r="BH23" s="23">
        <f>+_xlfn.XLOOKUP($B23,Expenses_FY25B!$B:$B,Expenses_FY25B!AD:AD)/1000</f>
        <v>0</v>
      </c>
      <c r="BI23" s="25"/>
      <c r="BJ23" s="8">
        <f t="shared" si="38"/>
        <v>0</v>
      </c>
      <c r="BK23" s="33" t="str">
        <f t="shared" si="39"/>
        <v>n.a.</v>
      </c>
      <c r="BM23" s="38">
        <f t="shared" si="40"/>
        <v>0</v>
      </c>
      <c r="BN23" s="38">
        <f t="shared" si="43"/>
        <v>0</v>
      </c>
      <c r="BO23" s="8">
        <f t="shared" si="41"/>
        <v>0</v>
      </c>
      <c r="BP23" s="33" t="str">
        <f t="shared" si="42"/>
        <v>n.a.</v>
      </c>
    </row>
    <row r="24" spans="2:68" x14ac:dyDescent="0.25">
      <c r="B24">
        <f>+MAX($B$1:B23)+1</f>
        <v>47</v>
      </c>
      <c r="C24" s="15" t="s">
        <v>198</v>
      </c>
      <c r="E24" s="23">
        <f>+_xlfn.XLOOKUP($B24,Expenses_FY25B!$B:$B,Expenses_FY25B!S:S)/1000</f>
        <v>0</v>
      </c>
      <c r="F24" s="25"/>
      <c r="G24" s="8">
        <f t="shared" si="16"/>
        <v>0</v>
      </c>
      <c r="H24" s="33" t="str">
        <f t="shared" si="17"/>
        <v>n.a.</v>
      </c>
      <c r="J24" s="23">
        <f>+_xlfn.XLOOKUP($B24,Expenses_FY25B!$B:$B,Expenses_FY25B!T:T)/1000</f>
        <v>0</v>
      </c>
      <c r="K24" s="25"/>
      <c r="L24" s="8">
        <f t="shared" si="18"/>
        <v>0</v>
      </c>
      <c r="M24" s="33" t="str">
        <f t="shared" si="44"/>
        <v>n.a.</v>
      </c>
      <c r="O24" s="23">
        <f>+_xlfn.XLOOKUP($B24,Expenses_FY25B!$B:$B,Expenses_FY25B!U:U)/1000</f>
        <v>0</v>
      </c>
      <c r="P24" s="25"/>
      <c r="Q24" s="8">
        <f t="shared" si="20"/>
        <v>0</v>
      </c>
      <c r="R24" s="33" t="str">
        <f t="shared" si="45"/>
        <v>n.a.</v>
      </c>
      <c r="T24" s="23">
        <f>+_xlfn.XLOOKUP($B24,Expenses_FY25B!$B:$B,Expenses_FY25B!V:V)/1000</f>
        <v>0</v>
      </c>
      <c r="U24" s="25"/>
      <c r="V24" s="8">
        <f t="shared" si="22"/>
        <v>0</v>
      </c>
      <c r="W24" s="33" t="str">
        <f t="shared" si="46"/>
        <v>n.a.</v>
      </c>
      <c r="Y24" s="23">
        <f>+_xlfn.XLOOKUP($B24,Expenses_FY25B!$B:$B,Expenses_FY25B!W:W)/1000</f>
        <v>0</v>
      </c>
      <c r="Z24" s="25"/>
      <c r="AA24" s="8">
        <f t="shared" si="24"/>
        <v>0</v>
      </c>
      <c r="AB24" s="33" t="str">
        <f t="shared" si="47"/>
        <v>n.a.</v>
      </c>
      <c r="AD24" s="23">
        <f>+_xlfn.XLOOKUP($B24,Expenses_FY25B!$B:$B,Expenses_FY25B!X:X)/1000</f>
        <v>0</v>
      </c>
      <c r="AE24" s="25"/>
      <c r="AF24" s="8">
        <f t="shared" si="26"/>
        <v>0</v>
      </c>
      <c r="AG24" s="33" t="str">
        <f t="shared" si="27"/>
        <v>n.a.</v>
      </c>
      <c r="AI24" s="23">
        <f>+_xlfn.XLOOKUP($B24,Expenses_FY25B!$B:$B,Expenses_FY25B!Y:Y)/1000</f>
        <v>0</v>
      </c>
      <c r="AJ24" s="25"/>
      <c r="AK24" s="8">
        <f t="shared" si="28"/>
        <v>0</v>
      </c>
      <c r="AL24" s="33" t="str">
        <f t="shared" si="48"/>
        <v>n.a.</v>
      </c>
      <c r="AN24" s="23">
        <f>+_xlfn.XLOOKUP($B24,Expenses_FY25B!$B:$B,Expenses_FY25B!Z:Z)/1000</f>
        <v>0</v>
      </c>
      <c r="AO24" s="25"/>
      <c r="AP24" s="8">
        <f t="shared" si="30"/>
        <v>0</v>
      </c>
      <c r="AQ24" s="33" t="str">
        <f t="shared" si="31"/>
        <v>n.a.</v>
      </c>
      <c r="AS24" s="23">
        <f>+_xlfn.XLOOKUP($B24,Expenses_FY25B!$B:$B,Expenses_FY25B!AA:AA)/1000</f>
        <v>0</v>
      </c>
      <c r="AT24" s="25"/>
      <c r="AU24" s="8">
        <f t="shared" si="32"/>
        <v>0</v>
      </c>
      <c r="AV24" s="33" t="str">
        <f t="shared" si="33"/>
        <v>n.a.</v>
      </c>
      <c r="AX24" s="23">
        <f>+_xlfn.XLOOKUP($B24,Expenses_FY25B!$B:$B,Expenses_FY25B!AB:AB)/1000</f>
        <v>0</v>
      </c>
      <c r="AY24" s="25"/>
      <c r="AZ24" s="8">
        <f t="shared" si="34"/>
        <v>0</v>
      </c>
      <c r="BA24" s="33" t="str">
        <f t="shared" si="35"/>
        <v>n.a.</v>
      </c>
      <c r="BC24" s="23">
        <f>+_xlfn.XLOOKUP($B24,Expenses_FY25B!$B:$B,Expenses_FY25B!AC:AC)/1000</f>
        <v>0</v>
      </c>
      <c r="BD24" s="25"/>
      <c r="BE24" s="8">
        <f t="shared" si="36"/>
        <v>0</v>
      </c>
      <c r="BF24" s="33" t="str">
        <f t="shared" si="37"/>
        <v>n.a.</v>
      </c>
      <c r="BH24" s="23">
        <f>+_xlfn.XLOOKUP($B24,Expenses_FY25B!$B:$B,Expenses_FY25B!AD:AD)/1000</f>
        <v>0</v>
      </c>
      <c r="BI24" s="25"/>
      <c r="BJ24" s="8">
        <f t="shared" si="38"/>
        <v>0</v>
      </c>
      <c r="BK24" s="33" t="str">
        <f t="shared" si="39"/>
        <v>n.a.</v>
      </c>
      <c r="BM24" s="38">
        <f t="shared" si="40"/>
        <v>0</v>
      </c>
      <c r="BN24" s="38">
        <f t="shared" si="43"/>
        <v>0</v>
      </c>
      <c r="BO24" s="8">
        <f t="shared" si="41"/>
        <v>0</v>
      </c>
      <c r="BP24" s="33" t="str">
        <f t="shared" si="42"/>
        <v>n.a.</v>
      </c>
    </row>
    <row r="25" spans="2:68" s="5" customFormat="1" ht="15.75" thickBot="1" x14ac:dyDescent="0.3">
      <c r="C25" s="97" t="s">
        <v>84</v>
      </c>
      <c r="D25"/>
      <c r="E25" s="30">
        <f>SUM(E20:E24)</f>
        <v>0</v>
      </c>
      <c r="F25" s="30">
        <f>SUM(F20:F24)</f>
        <v>0</v>
      </c>
      <c r="G25" s="30">
        <f t="shared" si="16"/>
        <v>0</v>
      </c>
      <c r="H25" s="37" t="str">
        <f>IFERROR(G25/E25,"")</f>
        <v/>
      </c>
      <c r="J25" s="30">
        <f>SUM(J20:J24)</f>
        <v>0</v>
      </c>
      <c r="K25" s="30">
        <f>SUM(K20:K24)</f>
        <v>0</v>
      </c>
      <c r="L25" s="30">
        <f t="shared" si="18"/>
        <v>0</v>
      </c>
      <c r="M25" s="37" t="str">
        <f>IFERROR(L25/J25,"")</f>
        <v/>
      </c>
      <c r="O25" s="30">
        <f>SUM(O20:O24)</f>
        <v>0</v>
      </c>
      <c r="P25" s="40">
        <f>SUM(P20:P24)</f>
        <v>0</v>
      </c>
      <c r="Q25" s="30">
        <f t="shared" si="20"/>
        <v>0</v>
      </c>
      <c r="R25" s="37" t="str">
        <f>IFERROR(Q25/O25,"")</f>
        <v/>
      </c>
      <c r="T25" s="30">
        <f>SUM(T20:T24)</f>
        <v>0</v>
      </c>
      <c r="U25" s="40">
        <f>SUM(U20:U24)</f>
        <v>0</v>
      </c>
      <c r="V25" s="30">
        <f t="shared" si="22"/>
        <v>0</v>
      </c>
      <c r="W25" s="37" t="str">
        <f>IFERROR(V25/T25,"")</f>
        <v/>
      </c>
      <c r="Y25" s="30">
        <f>SUM(Y20:Y24)</f>
        <v>0</v>
      </c>
      <c r="Z25" s="40">
        <f>SUM(Z20:Z24)</f>
        <v>0</v>
      </c>
      <c r="AA25" s="30">
        <f t="shared" si="24"/>
        <v>0</v>
      </c>
      <c r="AB25" s="37" t="str">
        <f>IFERROR(AA25/Y25,"")</f>
        <v/>
      </c>
      <c r="AD25" s="30">
        <f>SUM(AD20:AD24)</f>
        <v>0</v>
      </c>
      <c r="AE25" s="40">
        <f>SUM(AE20:AE24)</f>
        <v>0</v>
      </c>
      <c r="AF25" s="30">
        <f t="shared" si="26"/>
        <v>0</v>
      </c>
      <c r="AG25" s="37" t="str">
        <f>IFERROR(AF25/AD25,"")</f>
        <v/>
      </c>
      <c r="AI25" s="30">
        <f>SUM(AI20:AI24)</f>
        <v>0</v>
      </c>
      <c r="AJ25" s="40">
        <f>SUM(AJ20:AJ24)</f>
        <v>0</v>
      </c>
      <c r="AK25" s="30">
        <f t="shared" si="28"/>
        <v>0</v>
      </c>
      <c r="AL25" s="37" t="str">
        <f>IFERROR(AK25/AI25,"")</f>
        <v/>
      </c>
      <c r="AN25" s="30">
        <f>SUM(AN20:AN24)</f>
        <v>0</v>
      </c>
      <c r="AO25" s="40">
        <f>SUM(AO20:AO24)</f>
        <v>0</v>
      </c>
      <c r="AP25" s="30">
        <f t="shared" si="30"/>
        <v>0</v>
      </c>
      <c r="AQ25" s="37" t="str">
        <f>IFERROR(AP25/AN25,"")</f>
        <v/>
      </c>
      <c r="AS25" s="30">
        <f>SUM(AS20:AS24)</f>
        <v>0</v>
      </c>
      <c r="AT25" s="40">
        <f>SUM(AT20:AT24)</f>
        <v>0</v>
      </c>
      <c r="AU25" s="30">
        <f t="shared" si="32"/>
        <v>0</v>
      </c>
      <c r="AV25" s="37" t="str">
        <f>IFERROR(AU25/AS25,"")</f>
        <v/>
      </c>
      <c r="AX25" s="30">
        <f>SUM(AX20:AX24)</f>
        <v>0</v>
      </c>
      <c r="AY25" s="40">
        <f>SUM(AY20:AY24)</f>
        <v>0</v>
      </c>
      <c r="AZ25" s="30">
        <f t="shared" si="34"/>
        <v>0</v>
      </c>
      <c r="BA25" s="37" t="str">
        <f>IFERROR(AZ25/AX25,"")</f>
        <v/>
      </c>
      <c r="BC25" s="30">
        <f>SUM(BC20:BC24)</f>
        <v>0</v>
      </c>
      <c r="BD25" s="40">
        <f>SUM(BD20:BD24)</f>
        <v>0</v>
      </c>
      <c r="BE25" s="30">
        <f t="shared" si="36"/>
        <v>0</v>
      </c>
      <c r="BF25" s="37" t="str">
        <f>IFERROR(BE25/BC25,"")</f>
        <v/>
      </c>
      <c r="BH25" s="30">
        <f>SUM(BH20:BH24)</f>
        <v>0</v>
      </c>
      <c r="BI25" s="40">
        <f>SUM(BI20:BI24)</f>
        <v>0</v>
      </c>
      <c r="BJ25" s="30">
        <f t="shared" si="38"/>
        <v>0</v>
      </c>
      <c r="BK25" s="37" t="str">
        <f>IFERROR(BJ25/BH25,"")</f>
        <v/>
      </c>
      <c r="BM25" s="238">
        <f>SUM(BM20:BM24)</f>
        <v>0</v>
      </c>
      <c r="BN25" s="40">
        <f>SUM(BN20:BN24)</f>
        <v>0</v>
      </c>
      <c r="BO25" s="30">
        <f t="shared" si="41"/>
        <v>0</v>
      </c>
      <c r="BP25" s="37" t="str">
        <f>IFERROR(BO25/BM25,"")</f>
        <v/>
      </c>
    </row>
    <row r="26" spans="2:68" ht="15.75" thickTop="1" x14ac:dyDescent="0.25">
      <c r="C26" s="5"/>
      <c r="E26" s="14"/>
      <c r="F26" s="17"/>
      <c r="G26" s="18"/>
      <c r="H26" s="11"/>
      <c r="J26" s="14"/>
      <c r="K26" s="17"/>
      <c r="L26" s="18"/>
      <c r="M26" s="11"/>
      <c r="O26" s="14"/>
      <c r="P26" s="17"/>
      <c r="Q26" s="18"/>
      <c r="R26" s="11"/>
      <c r="T26" s="14"/>
      <c r="U26" s="17"/>
      <c r="V26" s="18"/>
      <c r="W26" s="39"/>
      <c r="Y26" s="14"/>
      <c r="Z26" s="17"/>
      <c r="AA26" s="18"/>
      <c r="AB26" s="39"/>
      <c r="AD26" s="14"/>
      <c r="AE26" s="17"/>
      <c r="AF26" s="18"/>
      <c r="AG26" s="39"/>
      <c r="AI26" s="14"/>
      <c r="AJ26" s="17"/>
      <c r="AK26" s="18"/>
      <c r="AL26" s="39"/>
      <c r="AN26" s="14"/>
      <c r="AO26" s="17"/>
      <c r="AP26" s="18"/>
      <c r="AQ26" s="39"/>
      <c r="AS26" s="14"/>
      <c r="AT26" s="17"/>
      <c r="AU26" s="18"/>
      <c r="AV26" s="39"/>
      <c r="AX26" s="14"/>
      <c r="AY26" s="17"/>
      <c r="AZ26" s="18"/>
      <c r="BA26" s="39"/>
      <c r="BC26" s="14"/>
      <c r="BD26" s="17"/>
      <c r="BE26" s="18"/>
      <c r="BF26" s="39"/>
      <c r="BH26" s="14"/>
      <c r="BI26" s="17"/>
      <c r="BJ26" s="18"/>
      <c r="BK26" s="39"/>
      <c r="BM26" s="100"/>
      <c r="BN26" s="17"/>
      <c r="BO26" s="18"/>
      <c r="BP26" s="39"/>
    </row>
    <row r="27" spans="2:68" x14ac:dyDescent="0.25">
      <c r="B27" s="70" t="s">
        <v>50</v>
      </c>
      <c r="C27" s="98" t="s">
        <v>85</v>
      </c>
      <c r="E27" s="14"/>
      <c r="F27" s="17"/>
      <c r="G27" s="18"/>
      <c r="H27" s="11"/>
      <c r="J27" s="14"/>
      <c r="K27" s="17"/>
      <c r="L27" s="18"/>
      <c r="M27" s="11"/>
      <c r="O27" s="14"/>
      <c r="P27" s="17"/>
      <c r="Q27" s="18"/>
      <c r="R27" s="11"/>
      <c r="T27" s="14"/>
      <c r="U27" s="17"/>
      <c r="V27" s="18"/>
      <c r="W27" s="39"/>
      <c r="Y27" s="14"/>
      <c r="Z27" s="17"/>
      <c r="AA27" s="18"/>
      <c r="AB27" s="39"/>
      <c r="AD27" s="14"/>
      <c r="AE27" s="17"/>
      <c r="AF27" s="18"/>
      <c r="AG27" s="39"/>
      <c r="AI27" s="14"/>
      <c r="AJ27" s="17"/>
      <c r="AK27" s="18"/>
      <c r="AL27" s="39"/>
      <c r="AN27" s="14"/>
      <c r="AO27" s="17"/>
      <c r="AP27" s="18"/>
      <c r="AQ27" s="39"/>
      <c r="AS27" s="14"/>
      <c r="AT27" s="17"/>
      <c r="AU27" s="18"/>
      <c r="AV27" s="39"/>
      <c r="AX27" s="14"/>
      <c r="AY27" s="17"/>
      <c r="AZ27" s="18"/>
      <c r="BA27" s="39"/>
      <c r="BC27" s="14"/>
      <c r="BD27" s="17"/>
      <c r="BE27" s="18"/>
      <c r="BF27" s="39"/>
      <c r="BH27" s="14"/>
      <c r="BI27" s="17"/>
      <c r="BJ27" s="18"/>
      <c r="BK27" s="39"/>
      <c r="BM27" s="100"/>
      <c r="BN27" s="17"/>
      <c r="BO27" s="18"/>
      <c r="BP27" s="39"/>
    </row>
    <row r="28" spans="2:68" x14ac:dyDescent="0.25">
      <c r="B28" s="70"/>
      <c r="C28" s="97" t="s">
        <v>79</v>
      </c>
      <c r="E28" s="14"/>
      <c r="F28" s="17"/>
      <c r="G28" s="18"/>
      <c r="H28" s="11"/>
      <c r="J28" s="14"/>
      <c r="K28" s="17"/>
      <c r="L28" s="18"/>
      <c r="M28" s="11"/>
      <c r="O28" s="14"/>
      <c r="P28" s="17"/>
      <c r="Q28" s="18"/>
      <c r="R28" s="11"/>
      <c r="T28" s="14"/>
      <c r="U28" s="17"/>
      <c r="V28" s="18"/>
      <c r="W28" s="39"/>
      <c r="Y28" s="14"/>
      <c r="Z28" s="17"/>
      <c r="AA28" s="18"/>
      <c r="AB28" s="39"/>
      <c r="AD28" s="14"/>
      <c r="AE28" s="17"/>
      <c r="AF28" s="18"/>
      <c r="AG28" s="39"/>
      <c r="AI28" s="14"/>
      <c r="AJ28" s="17"/>
      <c r="AK28" s="18"/>
      <c r="AL28" s="39"/>
      <c r="AN28" s="14"/>
      <c r="AO28" s="17"/>
      <c r="AP28" s="18"/>
      <c r="AQ28" s="39"/>
      <c r="AS28" s="14"/>
      <c r="AT28" s="17"/>
      <c r="AU28" s="18"/>
      <c r="AV28" s="39"/>
      <c r="AX28" s="14"/>
      <c r="AY28" s="17"/>
      <c r="AZ28" s="18"/>
      <c r="BA28" s="39"/>
      <c r="BC28" s="14"/>
      <c r="BD28" s="17"/>
      <c r="BE28" s="18"/>
      <c r="BF28" s="39"/>
      <c r="BH28" s="14"/>
      <c r="BI28" s="17"/>
      <c r="BJ28" s="18"/>
      <c r="BK28" s="39"/>
      <c r="BM28" s="100"/>
      <c r="BN28" s="17"/>
      <c r="BO28" s="18"/>
      <c r="BP28" s="39"/>
    </row>
    <row r="29" spans="2:68" x14ac:dyDescent="0.25">
      <c r="B29">
        <f>+MAX($B$1:B27)+1</f>
        <v>48</v>
      </c>
      <c r="C29" s="15" t="s">
        <v>86</v>
      </c>
      <c r="E29" s="23">
        <f>+_xlfn.XLOOKUP($B29,Expenses_FY25B!$B:$B,Expenses_FY25B!S:S)/1000</f>
        <v>0</v>
      </c>
      <c r="F29" s="25"/>
      <c r="G29" s="8">
        <f t="shared" ref="G29:G33" si="49">E29-F29</f>
        <v>0</v>
      </c>
      <c r="H29" s="33" t="str">
        <f>IFERROR(G29/E29,"n.a.")</f>
        <v>n.a.</v>
      </c>
      <c r="J29" s="23">
        <f>+_xlfn.XLOOKUP($B29,Expenses_FY25B!$B:$B,Expenses_FY25B!T:T)/1000</f>
        <v>0</v>
      </c>
      <c r="K29" s="25"/>
      <c r="L29" s="8">
        <f t="shared" ref="L29:L33" si="50">J29-K29</f>
        <v>0</v>
      </c>
      <c r="M29" s="33" t="str">
        <f>IFERROR(L29/J29,"n.a.")</f>
        <v>n.a.</v>
      </c>
      <c r="O29" s="23">
        <f>+_xlfn.XLOOKUP($B29,Expenses_FY25B!$B:$B,Expenses_FY25B!U:U)/1000</f>
        <v>0</v>
      </c>
      <c r="P29" s="25"/>
      <c r="Q29" s="8">
        <f t="shared" ref="Q29:Q33" si="51">O29-P29</f>
        <v>0</v>
      </c>
      <c r="R29" s="33" t="str">
        <f>IFERROR(Q29/O29,"n.a.")</f>
        <v>n.a.</v>
      </c>
      <c r="T29" s="23">
        <f>+_xlfn.XLOOKUP($B29,Expenses_FY25B!$B:$B,Expenses_FY25B!V:V)/1000</f>
        <v>0</v>
      </c>
      <c r="U29" s="25"/>
      <c r="V29" s="8">
        <f t="shared" ref="V29:V33" si="52">T29-U29</f>
        <v>0</v>
      </c>
      <c r="W29" s="33" t="str">
        <f>IFERROR(V29/T29,"n.a.")</f>
        <v>n.a.</v>
      </c>
      <c r="Y29" s="23">
        <f>+_xlfn.XLOOKUP($B29,Expenses_FY25B!$B:$B,Expenses_FY25B!W:W)/1000</f>
        <v>0</v>
      </c>
      <c r="Z29" s="25"/>
      <c r="AA29" s="8">
        <f t="shared" ref="AA29:AA33" si="53">Y29-Z29</f>
        <v>0</v>
      </c>
      <c r="AB29" s="33" t="str">
        <f>IFERROR(AA29/Y29,"n.a.")</f>
        <v>n.a.</v>
      </c>
      <c r="AD29" s="23">
        <f>+_xlfn.XLOOKUP($B29,Expenses_FY25B!$B:$B,Expenses_FY25B!X:X)/1000</f>
        <v>0</v>
      </c>
      <c r="AE29" s="25"/>
      <c r="AF29" s="8">
        <f t="shared" ref="AF29:AF33" si="54">AD29-AE29</f>
        <v>0</v>
      </c>
      <c r="AG29" s="33" t="str">
        <f>IFERROR(AF29/AD29,"n.a.")</f>
        <v>n.a.</v>
      </c>
      <c r="AI29" s="23">
        <f>+_xlfn.XLOOKUP($B29,Expenses_FY25B!$B:$B,Expenses_FY25B!Y:Y)/1000</f>
        <v>0</v>
      </c>
      <c r="AJ29" s="25"/>
      <c r="AK29" s="8">
        <f t="shared" ref="AK29:AK33" si="55">AI29-AJ29</f>
        <v>0</v>
      </c>
      <c r="AL29" s="33" t="str">
        <f>IFERROR(AK29/AI29,"n.a.")</f>
        <v>n.a.</v>
      </c>
      <c r="AN29" s="23">
        <f>+_xlfn.XLOOKUP($B29,Expenses_FY25B!$B:$B,Expenses_FY25B!Z:Z)/1000</f>
        <v>0</v>
      </c>
      <c r="AO29" s="25"/>
      <c r="AP29" s="8">
        <f t="shared" ref="AP29:AP33" si="56">AN29-AO29</f>
        <v>0</v>
      </c>
      <c r="AQ29" s="33" t="str">
        <f>IFERROR(AP29/AN29,"n.a.")</f>
        <v>n.a.</v>
      </c>
      <c r="AS29" s="23">
        <f>+_xlfn.XLOOKUP($B29,Expenses_FY25B!$B:$B,Expenses_FY25B!AA:AA)/1000</f>
        <v>0</v>
      </c>
      <c r="AT29" s="25"/>
      <c r="AU29" s="8">
        <f t="shared" ref="AU29:AU33" si="57">AS29-AT29</f>
        <v>0</v>
      </c>
      <c r="AV29" s="33" t="str">
        <f>IFERROR(AU29/AS29,"n.a.")</f>
        <v>n.a.</v>
      </c>
      <c r="AX29" s="23">
        <f>+_xlfn.XLOOKUP($B29,Expenses_FY25B!$B:$B,Expenses_FY25B!AB:AB)/1000</f>
        <v>0</v>
      </c>
      <c r="AY29" s="25"/>
      <c r="AZ29" s="8">
        <f t="shared" ref="AZ29:AZ33" si="58">AX29-AY29</f>
        <v>0</v>
      </c>
      <c r="BA29" s="33" t="str">
        <f>IFERROR(AZ29/AX29,"n.a.")</f>
        <v>n.a.</v>
      </c>
      <c r="BC29" s="23">
        <f>+_xlfn.XLOOKUP($B29,Expenses_FY25B!$B:$B,Expenses_FY25B!AC:AC)/1000</f>
        <v>0</v>
      </c>
      <c r="BD29" s="25"/>
      <c r="BE29" s="8">
        <f t="shared" ref="BE29:BE33" si="59">BC29-BD29</f>
        <v>0</v>
      </c>
      <c r="BF29" s="33" t="str">
        <f>IFERROR(BE29/BC29,"n.a.")</f>
        <v>n.a.</v>
      </c>
      <c r="BH29" s="23">
        <f>+_xlfn.XLOOKUP($B29,Expenses_FY25B!$B:$B,Expenses_FY25B!AD:AD)/1000</f>
        <v>0</v>
      </c>
      <c r="BI29" s="25"/>
      <c r="BJ29" s="8">
        <f t="shared" ref="BJ29:BJ33" si="60">BH29-BI29</f>
        <v>0</v>
      </c>
      <c r="BK29" s="33" t="str">
        <f>IFERROR(BJ29/BH29,"n.a.")</f>
        <v>n.a.</v>
      </c>
      <c r="BM29" s="38">
        <f t="shared" ref="BM29:BM32" si="61">+E29+J29+O29+T29+Y29+AD29+AI29+AN29+AS29+AX29+BC29+BH29</f>
        <v>0</v>
      </c>
      <c r="BN29" s="38">
        <f t="shared" ref="BN29:BN32" si="62">+F29+K29+P29+U29+Z29+AE29+AJ29+AO29+AT29+AY29+BD29+BI29</f>
        <v>0</v>
      </c>
      <c r="BO29" s="8">
        <f t="shared" ref="BO29:BO33" si="63">BM29-BN29</f>
        <v>0</v>
      </c>
      <c r="BP29" s="33" t="str">
        <f>IFERROR(BO29/BM29,"n.a.")</f>
        <v>n.a.</v>
      </c>
    </row>
    <row r="30" spans="2:68" x14ac:dyDescent="0.25">
      <c r="B30">
        <f>+MAX($B$1:B29)+1</f>
        <v>49</v>
      </c>
      <c r="C30" s="15" t="s">
        <v>87</v>
      </c>
      <c r="E30" s="23">
        <f>+_xlfn.XLOOKUP($B30,Expenses_FY25B!$B:$B,Expenses_FY25B!S:S)/1000</f>
        <v>0</v>
      </c>
      <c r="F30" s="25"/>
      <c r="G30" s="8">
        <f t="shared" si="49"/>
        <v>0</v>
      </c>
      <c r="H30" s="33" t="str">
        <f>IFERROR(G30/E30,"n.a.")</f>
        <v>n.a.</v>
      </c>
      <c r="J30" s="23">
        <f>+_xlfn.XLOOKUP($B30,Expenses_FY25B!$B:$B,Expenses_FY25B!T:T)/1000</f>
        <v>0</v>
      </c>
      <c r="K30" s="25"/>
      <c r="L30" s="8">
        <f t="shared" si="50"/>
        <v>0</v>
      </c>
      <c r="M30" s="33" t="str">
        <f>IFERROR(L30/J30,"n.a.")</f>
        <v>n.a.</v>
      </c>
      <c r="O30" s="23">
        <f>+_xlfn.XLOOKUP($B30,Expenses_FY25B!$B:$B,Expenses_FY25B!U:U)/1000</f>
        <v>0</v>
      </c>
      <c r="P30" s="25"/>
      <c r="Q30" s="8">
        <f t="shared" si="51"/>
        <v>0</v>
      </c>
      <c r="R30" s="33" t="str">
        <f>IFERROR(Q30/O30,"n.a.")</f>
        <v>n.a.</v>
      </c>
      <c r="T30" s="23">
        <f>+_xlfn.XLOOKUP($B30,Expenses_FY25B!$B:$B,Expenses_FY25B!V:V)/1000</f>
        <v>0</v>
      </c>
      <c r="U30" s="25"/>
      <c r="V30" s="8">
        <f t="shared" si="52"/>
        <v>0</v>
      </c>
      <c r="W30" s="33" t="str">
        <f>IFERROR(V30/T30,"n.a.")</f>
        <v>n.a.</v>
      </c>
      <c r="Y30" s="23">
        <f>+_xlfn.XLOOKUP($B30,Expenses_FY25B!$B:$B,Expenses_FY25B!W:W)/1000</f>
        <v>0</v>
      </c>
      <c r="Z30" s="25"/>
      <c r="AA30" s="8">
        <f t="shared" si="53"/>
        <v>0</v>
      </c>
      <c r="AB30" s="33" t="str">
        <f>IFERROR(AA30/Y30,"n.a.")</f>
        <v>n.a.</v>
      </c>
      <c r="AD30" s="23">
        <f>+_xlfn.XLOOKUP($B30,Expenses_FY25B!$B:$B,Expenses_FY25B!X:X)/1000</f>
        <v>0</v>
      </c>
      <c r="AE30" s="25"/>
      <c r="AF30" s="8">
        <f t="shared" si="54"/>
        <v>0</v>
      </c>
      <c r="AG30" s="33" t="str">
        <f>IFERROR(AF30/AD30,"n.a.")</f>
        <v>n.a.</v>
      </c>
      <c r="AI30" s="23">
        <f>+_xlfn.XLOOKUP($B30,Expenses_FY25B!$B:$B,Expenses_FY25B!Y:Y)/1000</f>
        <v>0</v>
      </c>
      <c r="AJ30" s="25"/>
      <c r="AK30" s="8">
        <f t="shared" si="55"/>
        <v>0</v>
      </c>
      <c r="AL30" s="33" t="str">
        <f>IFERROR(AK30/AI30,"n.a.")</f>
        <v>n.a.</v>
      </c>
      <c r="AN30" s="23">
        <f>+_xlfn.XLOOKUP($B30,Expenses_FY25B!$B:$B,Expenses_FY25B!Z:Z)/1000</f>
        <v>0</v>
      </c>
      <c r="AO30" s="25"/>
      <c r="AP30" s="8">
        <f t="shared" si="56"/>
        <v>0</v>
      </c>
      <c r="AQ30" s="33" t="str">
        <f>IFERROR(AP30/AN30,"n.a.")</f>
        <v>n.a.</v>
      </c>
      <c r="AS30" s="23">
        <f>+_xlfn.XLOOKUP($B30,Expenses_FY25B!$B:$B,Expenses_FY25B!AA:AA)/1000</f>
        <v>0</v>
      </c>
      <c r="AT30" s="25"/>
      <c r="AU30" s="8">
        <f t="shared" si="57"/>
        <v>0</v>
      </c>
      <c r="AV30" s="33" t="str">
        <f>IFERROR(AU30/AS30,"n.a.")</f>
        <v>n.a.</v>
      </c>
      <c r="AX30" s="23">
        <f>+_xlfn.XLOOKUP($B30,Expenses_FY25B!$B:$B,Expenses_FY25B!AB:AB)/1000</f>
        <v>0</v>
      </c>
      <c r="AY30" s="25"/>
      <c r="AZ30" s="8">
        <f t="shared" si="58"/>
        <v>0</v>
      </c>
      <c r="BA30" s="33" t="str">
        <f>IFERROR(AZ30/AX30,"n.a.")</f>
        <v>n.a.</v>
      </c>
      <c r="BC30" s="23">
        <f>+_xlfn.XLOOKUP($B30,Expenses_FY25B!$B:$B,Expenses_FY25B!AC:AC)/1000</f>
        <v>0</v>
      </c>
      <c r="BD30" s="25"/>
      <c r="BE30" s="8">
        <f t="shared" si="59"/>
        <v>0</v>
      </c>
      <c r="BF30" s="33" t="str">
        <f>IFERROR(BE30/BC30,"n.a.")</f>
        <v>n.a.</v>
      </c>
      <c r="BH30" s="23">
        <f>+_xlfn.XLOOKUP($B30,Expenses_FY25B!$B:$B,Expenses_FY25B!AD:AD)/1000</f>
        <v>0</v>
      </c>
      <c r="BI30" s="25"/>
      <c r="BJ30" s="8">
        <f t="shared" si="60"/>
        <v>0</v>
      </c>
      <c r="BK30" s="33" t="str">
        <f>IFERROR(BJ30/BH30,"n.a.")</f>
        <v>n.a.</v>
      </c>
      <c r="BM30" s="38">
        <f t="shared" si="61"/>
        <v>0</v>
      </c>
      <c r="BN30" s="38">
        <f t="shared" si="62"/>
        <v>0</v>
      </c>
      <c r="BO30" s="8">
        <f t="shared" si="63"/>
        <v>0</v>
      </c>
      <c r="BP30" s="33" t="str">
        <f>IFERROR(BO30/BM30,"n.a.")</f>
        <v>n.a.</v>
      </c>
    </row>
    <row r="31" spans="2:68" x14ac:dyDescent="0.25">
      <c r="B31">
        <f>+MAX($B$1:B30)+1</f>
        <v>50</v>
      </c>
      <c r="C31" s="15" t="s">
        <v>88</v>
      </c>
      <c r="E31" s="23">
        <f>+_xlfn.XLOOKUP($B31,Expenses_FY25B!$B:$B,Expenses_FY25B!S:S)/1000</f>
        <v>0</v>
      </c>
      <c r="F31" s="25"/>
      <c r="G31" s="8">
        <f t="shared" si="49"/>
        <v>0</v>
      </c>
      <c r="H31" s="33" t="str">
        <f t="shared" ref="H31:H32" si="64">IFERROR(G31/E31,"n.a.")</f>
        <v>n.a.</v>
      </c>
      <c r="J31" s="23">
        <f>+_xlfn.XLOOKUP($B31,Expenses_FY25B!$B:$B,Expenses_FY25B!T:T)/1000</f>
        <v>0</v>
      </c>
      <c r="K31" s="25"/>
      <c r="L31" s="8">
        <f t="shared" si="50"/>
        <v>0</v>
      </c>
      <c r="M31" s="33" t="str">
        <f t="shared" ref="M31:M32" si="65">IFERROR(L31/J31,"n.a.")</f>
        <v>n.a.</v>
      </c>
      <c r="O31" s="23">
        <f>+_xlfn.XLOOKUP($B31,Expenses_FY25B!$B:$B,Expenses_FY25B!U:U)/1000</f>
        <v>0</v>
      </c>
      <c r="P31" s="25"/>
      <c r="Q31" s="8">
        <f t="shared" si="51"/>
        <v>0</v>
      </c>
      <c r="R31" s="33" t="str">
        <f t="shared" ref="R31:R32" si="66">IFERROR(Q31/O31,"n.a.")</f>
        <v>n.a.</v>
      </c>
      <c r="T31" s="23">
        <f>+_xlfn.XLOOKUP($B31,Expenses_FY25B!$B:$B,Expenses_FY25B!V:V)/1000</f>
        <v>0</v>
      </c>
      <c r="U31" s="25"/>
      <c r="V31" s="8">
        <f t="shared" si="52"/>
        <v>0</v>
      </c>
      <c r="W31" s="33" t="str">
        <f t="shared" ref="W31:W32" si="67">IFERROR(V31/T31,"n.a.")</f>
        <v>n.a.</v>
      </c>
      <c r="Y31" s="23">
        <f>+_xlfn.XLOOKUP($B31,Expenses_FY25B!$B:$B,Expenses_FY25B!W:W)/1000</f>
        <v>0</v>
      </c>
      <c r="Z31" s="25"/>
      <c r="AA31" s="8">
        <f t="shared" si="53"/>
        <v>0</v>
      </c>
      <c r="AB31" s="33" t="str">
        <f t="shared" ref="AB31:AB32" si="68">IFERROR(AA31/Y31,"n.a.")</f>
        <v>n.a.</v>
      </c>
      <c r="AD31" s="23">
        <f>+_xlfn.XLOOKUP($B31,Expenses_FY25B!$B:$B,Expenses_FY25B!X:X)/1000</f>
        <v>0</v>
      </c>
      <c r="AE31" s="25"/>
      <c r="AF31" s="8">
        <f t="shared" si="54"/>
        <v>0</v>
      </c>
      <c r="AG31" s="33" t="str">
        <f t="shared" ref="AG31:AG32" si="69">IFERROR(AF31/AD31,"n.a.")</f>
        <v>n.a.</v>
      </c>
      <c r="AI31" s="23">
        <f>+_xlfn.XLOOKUP($B31,Expenses_FY25B!$B:$B,Expenses_FY25B!Y:Y)/1000</f>
        <v>0</v>
      </c>
      <c r="AJ31" s="25"/>
      <c r="AK31" s="8">
        <f t="shared" si="55"/>
        <v>0</v>
      </c>
      <c r="AL31" s="33" t="str">
        <f t="shared" ref="AL31:AL32" si="70">IFERROR(AK31/AI31,"n.a.")</f>
        <v>n.a.</v>
      </c>
      <c r="AN31" s="23">
        <f>+_xlfn.XLOOKUP($B31,Expenses_FY25B!$B:$B,Expenses_FY25B!Z:Z)/1000</f>
        <v>0</v>
      </c>
      <c r="AO31" s="25"/>
      <c r="AP31" s="8">
        <f t="shared" si="56"/>
        <v>0</v>
      </c>
      <c r="AQ31" s="33" t="str">
        <f t="shared" ref="AQ31:AQ32" si="71">IFERROR(AP31/AN31,"n.a.")</f>
        <v>n.a.</v>
      </c>
      <c r="AS31" s="23">
        <f>+_xlfn.XLOOKUP($B31,Expenses_FY25B!$B:$B,Expenses_FY25B!AA:AA)/1000</f>
        <v>0</v>
      </c>
      <c r="AT31" s="25"/>
      <c r="AU31" s="8">
        <f t="shared" si="57"/>
        <v>0</v>
      </c>
      <c r="AV31" s="33" t="str">
        <f t="shared" ref="AV31:AV32" si="72">IFERROR(AU31/AS31,"n.a.")</f>
        <v>n.a.</v>
      </c>
      <c r="AX31" s="23">
        <f>+_xlfn.XLOOKUP($B31,Expenses_FY25B!$B:$B,Expenses_FY25B!AB:AB)/1000</f>
        <v>0</v>
      </c>
      <c r="AY31" s="25"/>
      <c r="AZ31" s="8">
        <f t="shared" si="58"/>
        <v>0</v>
      </c>
      <c r="BA31" s="33" t="str">
        <f t="shared" ref="BA31:BA32" si="73">IFERROR(AZ31/AX31,"n.a.")</f>
        <v>n.a.</v>
      </c>
      <c r="BC31" s="23">
        <f>+_xlfn.XLOOKUP($B31,Expenses_FY25B!$B:$B,Expenses_FY25B!AC:AC)/1000</f>
        <v>0</v>
      </c>
      <c r="BD31" s="25"/>
      <c r="BE31" s="8">
        <f t="shared" si="59"/>
        <v>0</v>
      </c>
      <c r="BF31" s="33" t="str">
        <f t="shared" ref="BF31:BF32" si="74">IFERROR(BE31/BC31,"n.a.")</f>
        <v>n.a.</v>
      </c>
      <c r="BH31" s="23">
        <f>+_xlfn.XLOOKUP($B31,Expenses_FY25B!$B:$B,Expenses_FY25B!AD:AD)/1000</f>
        <v>0</v>
      </c>
      <c r="BI31" s="25"/>
      <c r="BJ31" s="8">
        <f t="shared" si="60"/>
        <v>0</v>
      </c>
      <c r="BK31" s="33" t="str">
        <f t="shared" ref="BK31:BK32" si="75">IFERROR(BJ31/BH31,"n.a.")</f>
        <v>n.a.</v>
      </c>
      <c r="BM31" s="38">
        <f t="shared" si="61"/>
        <v>0</v>
      </c>
      <c r="BN31" s="38">
        <f t="shared" si="62"/>
        <v>0</v>
      </c>
      <c r="BO31" s="8">
        <f t="shared" si="63"/>
        <v>0</v>
      </c>
      <c r="BP31" s="33" t="str">
        <f t="shared" ref="BP31:BP32" si="76">IFERROR(BO31/BM31,"n.a.")</f>
        <v>n.a.</v>
      </c>
    </row>
    <row r="32" spans="2:68" x14ac:dyDescent="0.25">
      <c r="B32">
        <f>+MAX($B$1:B31)+1</f>
        <v>51</v>
      </c>
      <c r="C32" s="15" t="s">
        <v>89</v>
      </c>
      <c r="E32" s="23">
        <f>+_xlfn.XLOOKUP($B32,Expenses_FY25B!$B:$B,Expenses_FY25B!S:S)/1000</f>
        <v>0</v>
      </c>
      <c r="F32" s="25"/>
      <c r="G32" s="8">
        <f t="shared" si="49"/>
        <v>0</v>
      </c>
      <c r="H32" s="33" t="str">
        <f t="shared" si="64"/>
        <v>n.a.</v>
      </c>
      <c r="J32" s="23">
        <f>+_xlfn.XLOOKUP($B32,Expenses_FY25B!$B:$B,Expenses_FY25B!T:T)/1000</f>
        <v>0</v>
      </c>
      <c r="K32" s="25"/>
      <c r="L32" s="8">
        <f t="shared" si="50"/>
        <v>0</v>
      </c>
      <c r="M32" s="33" t="str">
        <f t="shared" si="65"/>
        <v>n.a.</v>
      </c>
      <c r="O32" s="23">
        <f>+_xlfn.XLOOKUP($B32,Expenses_FY25B!$B:$B,Expenses_FY25B!U:U)/1000</f>
        <v>0</v>
      </c>
      <c r="P32" s="25"/>
      <c r="Q32" s="8">
        <f t="shared" si="51"/>
        <v>0</v>
      </c>
      <c r="R32" s="33" t="str">
        <f t="shared" si="66"/>
        <v>n.a.</v>
      </c>
      <c r="T32" s="23">
        <f>+_xlfn.XLOOKUP($B32,Expenses_FY25B!$B:$B,Expenses_FY25B!V:V)/1000</f>
        <v>0</v>
      </c>
      <c r="U32" s="25"/>
      <c r="V32" s="8">
        <f t="shared" si="52"/>
        <v>0</v>
      </c>
      <c r="W32" s="33" t="str">
        <f t="shared" si="67"/>
        <v>n.a.</v>
      </c>
      <c r="Y32" s="23">
        <f>+_xlfn.XLOOKUP($B32,Expenses_FY25B!$B:$B,Expenses_FY25B!W:W)/1000</f>
        <v>0</v>
      </c>
      <c r="Z32" s="25"/>
      <c r="AA32" s="8">
        <f t="shared" si="53"/>
        <v>0</v>
      </c>
      <c r="AB32" s="33" t="str">
        <f t="shared" si="68"/>
        <v>n.a.</v>
      </c>
      <c r="AD32" s="23">
        <f>+_xlfn.XLOOKUP($B32,Expenses_FY25B!$B:$B,Expenses_FY25B!X:X)/1000</f>
        <v>0</v>
      </c>
      <c r="AE32" s="25"/>
      <c r="AF32" s="8">
        <f t="shared" si="54"/>
        <v>0</v>
      </c>
      <c r="AG32" s="33" t="str">
        <f t="shared" si="69"/>
        <v>n.a.</v>
      </c>
      <c r="AI32" s="23">
        <f>+_xlfn.XLOOKUP($B32,Expenses_FY25B!$B:$B,Expenses_FY25B!Y:Y)/1000</f>
        <v>0</v>
      </c>
      <c r="AJ32" s="25"/>
      <c r="AK32" s="8">
        <f t="shared" si="55"/>
        <v>0</v>
      </c>
      <c r="AL32" s="33" t="str">
        <f t="shared" si="70"/>
        <v>n.a.</v>
      </c>
      <c r="AN32" s="23">
        <f>+_xlfn.XLOOKUP($B32,Expenses_FY25B!$B:$B,Expenses_FY25B!Z:Z)/1000</f>
        <v>0</v>
      </c>
      <c r="AO32" s="25"/>
      <c r="AP32" s="8">
        <f t="shared" si="56"/>
        <v>0</v>
      </c>
      <c r="AQ32" s="33" t="str">
        <f t="shared" si="71"/>
        <v>n.a.</v>
      </c>
      <c r="AS32" s="23">
        <f>+_xlfn.XLOOKUP($B32,Expenses_FY25B!$B:$B,Expenses_FY25B!AA:AA)/1000</f>
        <v>0</v>
      </c>
      <c r="AT32" s="25"/>
      <c r="AU32" s="8">
        <f t="shared" si="57"/>
        <v>0</v>
      </c>
      <c r="AV32" s="33" t="str">
        <f t="shared" si="72"/>
        <v>n.a.</v>
      </c>
      <c r="AX32" s="23">
        <f>+_xlfn.XLOOKUP($B32,Expenses_FY25B!$B:$B,Expenses_FY25B!AB:AB)/1000</f>
        <v>0</v>
      </c>
      <c r="AY32" s="25"/>
      <c r="AZ32" s="8">
        <f t="shared" si="58"/>
        <v>0</v>
      </c>
      <c r="BA32" s="33" t="str">
        <f t="shared" si="73"/>
        <v>n.a.</v>
      </c>
      <c r="BC32" s="23">
        <f>+_xlfn.XLOOKUP($B32,Expenses_FY25B!$B:$B,Expenses_FY25B!AC:AC)/1000</f>
        <v>0</v>
      </c>
      <c r="BD32" s="25"/>
      <c r="BE32" s="8">
        <f t="shared" si="59"/>
        <v>0</v>
      </c>
      <c r="BF32" s="33" t="str">
        <f t="shared" si="74"/>
        <v>n.a.</v>
      </c>
      <c r="BH32" s="23">
        <f>+_xlfn.XLOOKUP($B32,Expenses_FY25B!$B:$B,Expenses_FY25B!AD:AD)/1000</f>
        <v>0</v>
      </c>
      <c r="BI32" s="25"/>
      <c r="BJ32" s="8">
        <f t="shared" si="60"/>
        <v>0</v>
      </c>
      <c r="BK32" s="33" t="str">
        <f t="shared" si="75"/>
        <v>n.a.</v>
      </c>
      <c r="BM32" s="38">
        <f t="shared" si="61"/>
        <v>0</v>
      </c>
      <c r="BN32" s="38">
        <f t="shared" si="62"/>
        <v>0</v>
      </c>
      <c r="BO32" s="8">
        <f t="shared" si="63"/>
        <v>0</v>
      </c>
      <c r="BP32" s="33" t="str">
        <f t="shared" si="76"/>
        <v>n.a.</v>
      </c>
    </row>
    <row r="33" spans="2:68" s="5" customFormat="1" x14ac:dyDescent="0.25">
      <c r="C33" s="97" t="s">
        <v>202</v>
      </c>
      <c r="D33"/>
      <c r="E33" s="216">
        <f>SUM(E29:E32)</f>
        <v>0</v>
      </c>
      <c r="F33" s="32">
        <f>SUM(F29:F32)</f>
        <v>0</v>
      </c>
      <c r="G33" s="32">
        <f t="shared" si="49"/>
        <v>0</v>
      </c>
      <c r="H33" s="34" t="str">
        <f>IFERROR(G33/E33,"")</f>
        <v/>
      </c>
      <c r="J33" s="32">
        <f>SUM(J29:J32)</f>
        <v>0</v>
      </c>
      <c r="K33" s="32">
        <f>SUM(K29:K32)</f>
        <v>0</v>
      </c>
      <c r="L33" s="32">
        <f t="shared" si="50"/>
        <v>0</v>
      </c>
      <c r="M33" s="34" t="str">
        <f>IFERROR(L33/J33,"")</f>
        <v/>
      </c>
      <c r="O33" s="32">
        <f>SUM(O29:O32)</f>
        <v>0</v>
      </c>
      <c r="P33" s="41">
        <f>SUM(P29:P32)</f>
        <v>0</v>
      </c>
      <c r="Q33" s="32">
        <f t="shared" si="51"/>
        <v>0</v>
      </c>
      <c r="R33" s="34" t="str">
        <f>IFERROR(Q33/O33,"")</f>
        <v/>
      </c>
      <c r="T33" s="32">
        <f>SUM(T29:T32)</f>
        <v>0</v>
      </c>
      <c r="U33" s="41">
        <f>SUM(U29:U32)</f>
        <v>0</v>
      </c>
      <c r="V33" s="32">
        <f t="shared" si="52"/>
        <v>0</v>
      </c>
      <c r="W33" s="34" t="str">
        <f>IFERROR(V33/T33,"")</f>
        <v/>
      </c>
      <c r="Y33" s="32">
        <f>SUM(Y29:Y32)</f>
        <v>0</v>
      </c>
      <c r="Z33" s="41">
        <f>SUM(Z29:Z32)</f>
        <v>0</v>
      </c>
      <c r="AA33" s="32">
        <f t="shared" si="53"/>
        <v>0</v>
      </c>
      <c r="AB33" s="34" t="str">
        <f>IFERROR(AA33/Y33,"")</f>
        <v/>
      </c>
      <c r="AD33" s="32">
        <f>SUM(AD29:AD32)</f>
        <v>0</v>
      </c>
      <c r="AE33" s="41">
        <f>SUM(AE29:AE32)</f>
        <v>0</v>
      </c>
      <c r="AF33" s="32">
        <f t="shared" si="54"/>
        <v>0</v>
      </c>
      <c r="AG33" s="34" t="str">
        <f>IFERROR(AF33/AD33,"")</f>
        <v/>
      </c>
      <c r="AI33" s="32">
        <f>SUM(AI29:AI32)</f>
        <v>0</v>
      </c>
      <c r="AJ33" s="41">
        <f>SUM(AJ29:AJ32)</f>
        <v>0</v>
      </c>
      <c r="AK33" s="32">
        <f t="shared" si="55"/>
        <v>0</v>
      </c>
      <c r="AL33" s="34" t="str">
        <f>IFERROR(AK33/AI33,"")</f>
        <v/>
      </c>
      <c r="AN33" s="32">
        <f>SUM(AN29:AN32)</f>
        <v>0</v>
      </c>
      <c r="AO33" s="41">
        <f>SUM(AO29:AO32)</f>
        <v>0</v>
      </c>
      <c r="AP33" s="32">
        <f t="shared" si="56"/>
        <v>0</v>
      </c>
      <c r="AQ33" s="34" t="str">
        <f>IFERROR(AP33/AN33,"")</f>
        <v/>
      </c>
      <c r="AS33" s="32">
        <f>SUM(AS29:AS32)</f>
        <v>0</v>
      </c>
      <c r="AT33" s="41">
        <f>SUM(AT29:AT32)</f>
        <v>0</v>
      </c>
      <c r="AU33" s="32">
        <f t="shared" si="57"/>
        <v>0</v>
      </c>
      <c r="AV33" s="34" t="str">
        <f>IFERROR(AU33/AS33,"")</f>
        <v/>
      </c>
      <c r="AX33" s="32">
        <f>SUM(AX29:AX32)</f>
        <v>0</v>
      </c>
      <c r="AY33" s="41">
        <f>SUM(AY29:AY32)</f>
        <v>0</v>
      </c>
      <c r="AZ33" s="32">
        <f t="shared" si="58"/>
        <v>0</v>
      </c>
      <c r="BA33" s="34" t="str">
        <f>IFERROR(AZ33/AX33,"")</f>
        <v/>
      </c>
      <c r="BC33" s="32">
        <f>SUM(BC29:BC32)</f>
        <v>0</v>
      </c>
      <c r="BD33" s="41">
        <f>SUM(BD29:BD32)</f>
        <v>0</v>
      </c>
      <c r="BE33" s="32">
        <f t="shared" si="59"/>
        <v>0</v>
      </c>
      <c r="BF33" s="34" t="str">
        <f>IFERROR(BE33/BC33,"")</f>
        <v/>
      </c>
      <c r="BH33" s="32">
        <f>SUM(BH29:BH32)</f>
        <v>0</v>
      </c>
      <c r="BI33" s="41">
        <f>SUM(BI29:BI32)</f>
        <v>0</v>
      </c>
      <c r="BJ33" s="32">
        <f t="shared" si="60"/>
        <v>0</v>
      </c>
      <c r="BK33" s="34" t="str">
        <f>IFERROR(BJ33/BH33,"")</f>
        <v/>
      </c>
      <c r="BM33" s="216">
        <f>SUM(BM29:BM32)</f>
        <v>0</v>
      </c>
      <c r="BN33" s="41">
        <f>SUM(BN29:BN32)</f>
        <v>0</v>
      </c>
      <c r="BO33" s="32">
        <f t="shared" si="63"/>
        <v>0</v>
      </c>
      <c r="BP33" s="34" t="str">
        <f>IFERROR(BO33/BM33,"")</f>
        <v/>
      </c>
    </row>
    <row r="34" spans="2:68" x14ac:dyDescent="0.25">
      <c r="C34" s="5"/>
      <c r="E34" s="100"/>
      <c r="F34" s="17"/>
      <c r="G34" s="18"/>
      <c r="H34" s="11"/>
      <c r="J34" s="14"/>
      <c r="K34" s="17"/>
      <c r="L34" s="18"/>
      <c r="M34" s="11"/>
      <c r="O34" s="14"/>
      <c r="P34" s="17"/>
      <c r="Q34" s="18"/>
      <c r="R34" s="11"/>
      <c r="T34" s="14"/>
      <c r="U34" s="17"/>
      <c r="V34" s="18"/>
      <c r="W34" s="39"/>
      <c r="Y34" s="14"/>
      <c r="Z34" s="17"/>
      <c r="AA34" s="18"/>
      <c r="AB34" s="39"/>
      <c r="AD34" s="14"/>
      <c r="AE34" s="17"/>
      <c r="AF34" s="18"/>
      <c r="AG34" s="39"/>
      <c r="AI34" s="14"/>
      <c r="AJ34" s="17"/>
      <c r="AK34" s="18"/>
      <c r="AL34" s="39"/>
      <c r="AN34" s="14"/>
      <c r="AO34" s="17"/>
      <c r="AP34" s="18"/>
      <c r="AQ34" s="39"/>
      <c r="AS34" s="14"/>
      <c r="AT34" s="17"/>
      <c r="AU34" s="18"/>
      <c r="AV34" s="39"/>
      <c r="AX34" s="14"/>
      <c r="AY34" s="17"/>
      <c r="AZ34" s="18"/>
      <c r="BA34" s="39"/>
      <c r="BC34" s="14"/>
      <c r="BD34" s="17"/>
      <c r="BE34" s="18"/>
      <c r="BF34" s="39"/>
      <c r="BH34" s="14"/>
      <c r="BI34" s="17"/>
      <c r="BJ34" s="18"/>
      <c r="BK34" s="39"/>
      <c r="BM34" s="100"/>
      <c r="BN34" s="17"/>
      <c r="BO34" s="18"/>
      <c r="BP34" s="39"/>
    </row>
    <row r="35" spans="2:68" x14ac:dyDescent="0.25">
      <c r="B35" s="70"/>
      <c r="C35" s="96" t="s">
        <v>90</v>
      </c>
      <c r="E35" s="100"/>
      <c r="F35" s="17"/>
      <c r="G35" s="18"/>
      <c r="H35" s="11"/>
      <c r="J35" s="14"/>
      <c r="K35" s="17"/>
      <c r="L35" s="18"/>
      <c r="M35" s="11"/>
      <c r="O35" s="14"/>
      <c r="P35" s="17"/>
      <c r="Q35" s="18"/>
      <c r="R35" s="11"/>
      <c r="T35" s="14"/>
      <c r="U35" s="17"/>
      <c r="V35" s="18"/>
      <c r="W35" s="39"/>
      <c r="Y35" s="14"/>
      <c r="Z35" s="17"/>
      <c r="AA35" s="18"/>
      <c r="AB35" s="39"/>
      <c r="AD35" s="14"/>
      <c r="AE35" s="17"/>
      <c r="AF35" s="18"/>
      <c r="AG35" s="39"/>
      <c r="AI35" s="14"/>
      <c r="AJ35" s="17"/>
      <c r="AK35" s="18"/>
      <c r="AL35" s="39"/>
      <c r="AN35" s="14"/>
      <c r="AO35" s="17"/>
      <c r="AP35" s="18"/>
      <c r="AQ35" s="39"/>
      <c r="AS35" s="14"/>
      <c r="AT35" s="17"/>
      <c r="AU35" s="18"/>
      <c r="AV35" s="39"/>
      <c r="AX35" s="14"/>
      <c r="AY35" s="17"/>
      <c r="AZ35" s="18"/>
      <c r="BA35" s="39"/>
      <c r="BC35" s="14"/>
      <c r="BD35" s="17"/>
      <c r="BE35" s="18"/>
      <c r="BF35" s="39"/>
      <c r="BH35" s="14"/>
      <c r="BI35" s="17"/>
      <c r="BJ35" s="18"/>
      <c r="BK35" s="39"/>
      <c r="BM35" s="100"/>
      <c r="BN35" s="17"/>
      <c r="BO35" s="18"/>
      <c r="BP35" s="39"/>
    </row>
    <row r="36" spans="2:68" s="44" customFormat="1" x14ac:dyDescent="0.25">
      <c r="B36">
        <f>+MAX($B$1:B35)+1</f>
        <v>52</v>
      </c>
      <c r="C36" s="15" t="s">
        <v>91</v>
      </c>
      <c r="D36" s="71">
        <v>8736.9694999999992</v>
      </c>
      <c r="E36" s="23">
        <f>+_xlfn.XLOOKUP($B36,Expenses_FY25B!$B:$B,Expenses_FY25B!S:S)/1000</f>
        <v>0</v>
      </c>
      <c r="F36" s="25"/>
      <c r="G36" s="8">
        <f t="shared" ref="G36:G50" si="77">E36-F36</f>
        <v>0</v>
      </c>
      <c r="H36" s="33" t="str">
        <f t="shared" ref="H36:H41" si="78">IFERROR(G36/E36,"n.a.")</f>
        <v>n.a.</v>
      </c>
      <c r="J36" s="23">
        <f>+_xlfn.XLOOKUP($B36,Expenses_FY25B!$B:$B,Expenses_FY25B!T:T)/1000</f>
        <v>0</v>
      </c>
      <c r="K36" s="25"/>
      <c r="L36" s="8">
        <f t="shared" ref="L36:L52" si="79">J36-K36</f>
        <v>0</v>
      </c>
      <c r="M36" s="33" t="str">
        <f>IFERROR(L36/J36,"n.a.")</f>
        <v>n.a.</v>
      </c>
      <c r="O36" s="23">
        <f>+_xlfn.XLOOKUP($B36,Expenses_FY25B!$B:$B,Expenses_FY25B!U:U)/1000</f>
        <v>0</v>
      </c>
      <c r="P36" s="25"/>
      <c r="Q36" s="8">
        <f t="shared" ref="Q36:Q51" si="80">O36-P36</f>
        <v>0</v>
      </c>
      <c r="R36" s="33" t="str">
        <f>IFERROR(Q36/O36,"n.a.")</f>
        <v>n.a.</v>
      </c>
      <c r="T36" s="23">
        <f>+_xlfn.XLOOKUP($B36,Expenses_FY25B!$B:$B,Expenses_FY25B!V:V)/1000</f>
        <v>0</v>
      </c>
      <c r="U36" s="25"/>
      <c r="V36" s="8">
        <f t="shared" ref="V36:V47" si="81">T36-U36</f>
        <v>0</v>
      </c>
      <c r="W36" s="33" t="str">
        <f>IFERROR(V36/T36,"n.a.")</f>
        <v>n.a.</v>
      </c>
      <c r="Y36" s="23">
        <f>+_xlfn.XLOOKUP($B36,Expenses_FY25B!$B:$B,Expenses_FY25B!W:W)/1000</f>
        <v>0</v>
      </c>
      <c r="Z36" s="25"/>
      <c r="AA36" s="8">
        <f t="shared" ref="AA36:AA47" si="82">Y36-Z36</f>
        <v>0</v>
      </c>
      <c r="AB36" s="33" t="str">
        <f>IFERROR(AA36/Y36,"n.a.")</f>
        <v>n.a.</v>
      </c>
      <c r="AD36" s="23">
        <f>+_xlfn.XLOOKUP($B36,Expenses_FY25B!$B:$B,Expenses_FY25B!AB:AB)/1000</f>
        <v>0</v>
      </c>
      <c r="AE36" s="25"/>
      <c r="AF36" s="8">
        <f t="shared" ref="AF36:AF47" si="83">AD36-AE36</f>
        <v>0</v>
      </c>
      <c r="AG36" s="33" t="str">
        <f>IFERROR(AF36/AD36,"n.a.")</f>
        <v>n.a.</v>
      </c>
      <c r="AI36" s="23">
        <f>+_xlfn.XLOOKUP($B36,Expenses_FY25B!$B:$B,Expenses_FY25B!Y:Y)/1000</f>
        <v>0</v>
      </c>
      <c r="AJ36" s="25"/>
      <c r="AK36" s="8">
        <f t="shared" ref="AK36:AK51" si="84">AI36-AJ36</f>
        <v>0</v>
      </c>
      <c r="AL36" s="33" t="str">
        <f>IFERROR(AK36/AI36,"n.a.")</f>
        <v>n.a.</v>
      </c>
      <c r="AN36" s="23">
        <f>+_xlfn.XLOOKUP($B36,Expenses_FY25B!$B:$B,Expenses_FY25B!Z:Z)/1000</f>
        <v>0</v>
      </c>
      <c r="AO36" s="25"/>
      <c r="AP36" s="8">
        <f t="shared" ref="AP36:AP51" si="85">AN36-AO36</f>
        <v>0</v>
      </c>
      <c r="AQ36" s="33" t="str">
        <f>IFERROR(AP36/AN36,"n.a.")</f>
        <v>n.a.</v>
      </c>
      <c r="AS36" s="23">
        <f>+_xlfn.XLOOKUP($B36,Expenses_FY25B!$B:$B,Expenses_FY25B!AA:AA)/1000</f>
        <v>0</v>
      </c>
      <c r="AT36" s="25"/>
      <c r="AU36" s="8">
        <f t="shared" ref="AU36:AU51" si="86">AS36-AT36</f>
        <v>0</v>
      </c>
      <c r="AV36" s="33" t="str">
        <f>IFERROR(AU36/AS36,"n.a.")</f>
        <v>n.a.</v>
      </c>
      <c r="AX36" s="23">
        <f>+_xlfn.XLOOKUP($B36,Expenses_FY25B!$B:$B,Expenses_FY25B!AB:AB)/1000</f>
        <v>0</v>
      </c>
      <c r="AY36" s="25"/>
      <c r="AZ36" s="8">
        <f t="shared" ref="AZ36:AZ51" si="87">AX36-AY36</f>
        <v>0</v>
      </c>
      <c r="BA36" s="33" t="str">
        <f>IFERROR(AZ36/AX36,"n.a.")</f>
        <v>n.a.</v>
      </c>
      <c r="BC36" s="23">
        <f>+_xlfn.XLOOKUP($B36,Expenses_FY25B!$B:$B,Expenses_FY25B!AC:AC)/1000</f>
        <v>0</v>
      </c>
      <c r="BD36" s="25"/>
      <c r="BE36" s="8">
        <f t="shared" ref="BE36:BE51" si="88">BC36-BD36</f>
        <v>0</v>
      </c>
      <c r="BF36" s="33" t="str">
        <f>IFERROR(BE36/BC36,"n.a.")</f>
        <v>n.a.</v>
      </c>
      <c r="BH36" s="23">
        <f>+_xlfn.XLOOKUP($B36,Expenses_FY25B!$B:$B,Expenses_FY25B!AD:AD)/1000</f>
        <v>0</v>
      </c>
      <c r="BI36" s="25"/>
      <c r="BJ36" s="8">
        <f t="shared" ref="BJ36:BJ51" si="89">BH36-BI36</f>
        <v>0</v>
      </c>
      <c r="BK36" s="33" t="str">
        <f>IFERROR(BJ36/BH36,"n.a.")</f>
        <v>n.a.</v>
      </c>
      <c r="BM36" s="38">
        <f t="shared" ref="BM36:BM46" si="90">+E36+J36+O36+T36+Y36+AD36+AI36+AN36+AS36+AX36+BC36+BH36</f>
        <v>0</v>
      </c>
      <c r="BN36" s="38">
        <f t="shared" ref="BN36:BN41" si="91">+F36+K36+P36+U36+Z36+AE36+AJ36+AO36+AT36+AY36+BD36+BI36</f>
        <v>0</v>
      </c>
      <c r="BO36" s="8">
        <f t="shared" ref="BO36:BO52" si="92">BM36-BN36</f>
        <v>0</v>
      </c>
      <c r="BP36" s="33" t="str">
        <f>IFERROR(BO36/BM36,"n.a.")</f>
        <v>n.a.</v>
      </c>
    </row>
    <row r="37" spans="2:68" s="44" customFormat="1" x14ac:dyDescent="0.25">
      <c r="B37">
        <f>+MAX($B$1:B36)+1</f>
        <v>53</v>
      </c>
      <c r="C37" s="15" t="s">
        <v>92</v>
      </c>
      <c r="D37" s="71">
        <v>1023.0991284500001</v>
      </c>
      <c r="E37" s="23">
        <f>+_xlfn.XLOOKUP($B37,Expenses_FY25B!$B:$B,Expenses_FY25B!S:S)/1000</f>
        <v>0</v>
      </c>
      <c r="F37" s="25"/>
      <c r="G37" s="8">
        <f t="shared" si="77"/>
        <v>0</v>
      </c>
      <c r="H37" s="33" t="str">
        <f t="shared" si="78"/>
        <v>n.a.</v>
      </c>
      <c r="J37" s="23">
        <f>+_xlfn.XLOOKUP($B37,Expenses_FY25B!$B:$B,Expenses_FY25B!T:T)/1000</f>
        <v>0</v>
      </c>
      <c r="K37" s="25"/>
      <c r="L37" s="226">
        <f t="shared" si="79"/>
        <v>0</v>
      </c>
      <c r="M37" s="227" t="str">
        <f t="shared" ref="M37:M40" si="93">IFERROR(L37/J37,"n.a.")</f>
        <v>n.a.</v>
      </c>
      <c r="O37" s="23">
        <f>+_xlfn.XLOOKUP($B37,Expenses_FY25B!$B:$B,Expenses_FY25B!U:U)/1000</f>
        <v>0</v>
      </c>
      <c r="P37" s="25"/>
      <c r="Q37" s="226">
        <f t="shared" si="80"/>
        <v>0</v>
      </c>
      <c r="R37" s="227" t="str">
        <f t="shared" ref="R37:R40" si="94">IFERROR(Q37/O37,"n.a.")</f>
        <v>n.a.</v>
      </c>
      <c r="T37" s="23">
        <f>+_xlfn.XLOOKUP($B37,Expenses_FY25B!$B:$B,Expenses_FY25B!V:V)/1000</f>
        <v>0</v>
      </c>
      <c r="U37" s="25"/>
      <c r="V37" s="226">
        <f t="shared" si="81"/>
        <v>0</v>
      </c>
      <c r="W37" s="227" t="str">
        <f t="shared" ref="W37:W40" si="95">IFERROR(V37/T37,"n.a.")</f>
        <v>n.a.</v>
      </c>
      <c r="Y37" s="23">
        <f>+_xlfn.XLOOKUP($B37,Expenses_FY25B!$B:$B,Expenses_FY25B!W:W)/1000</f>
        <v>0</v>
      </c>
      <c r="Z37" s="25"/>
      <c r="AA37" s="226">
        <f t="shared" si="82"/>
        <v>0</v>
      </c>
      <c r="AB37" s="227" t="str">
        <f t="shared" ref="AB37:AB40" si="96">IFERROR(AA37/Y37,"n.a.")</f>
        <v>n.a.</v>
      </c>
      <c r="AD37" s="23">
        <f>+_xlfn.XLOOKUP($B37,Expenses_FY25B!$B:$B,Expenses_FY25B!AB:AB)/1000</f>
        <v>0</v>
      </c>
      <c r="AE37" s="25"/>
      <c r="AF37" s="226">
        <f t="shared" si="83"/>
        <v>0</v>
      </c>
      <c r="AG37" s="227" t="str">
        <f t="shared" ref="AG37:AG40" si="97">IFERROR(AF37/AD37,"n.a.")</f>
        <v>n.a.</v>
      </c>
      <c r="AI37" s="23">
        <f>+_xlfn.XLOOKUP($B37,Expenses_FY25B!$B:$B,Expenses_FY25B!Y:Y)/1000</f>
        <v>0</v>
      </c>
      <c r="AJ37" s="25"/>
      <c r="AK37" s="226">
        <f t="shared" si="84"/>
        <v>0</v>
      </c>
      <c r="AL37" s="227" t="str">
        <f t="shared" ref="AL37:AL40" si="98">IFERROR(AK37/AI37,"n.a.")</f>
        <v>n.a.</v>
      </c>
      <c r="AN37" s="23">
        <f>+_xlfn.XLOOKUP($B37,Expenses_FY25B!$B:$B,Expenses_FY25B!Z:Z)/1000</f>
        <v>0</v>
      </c>
      <c r="AO37" s="25"/>
      <c r="AP37" s="226">
        <f t="shared" si="85"/>
        <v>0</v>
      </c>
      <c r="AQ37" s="227" t="str">
        <f t="shared" ref="AQ37:AQ40" si="99">IFERROR(AP37/AN37,"n.a.")</f>
        <v>n.a.</v>
      </c>
      <c r="AS37" s="23">
        <f>+_xlfn.XLOOKUP($B37,Expenses_FY25B!$B:$B,Expenses_FY25B!AA:AA)/1000</f>
        <v>0</v>
      </c>
      <c r="AT37" s="25"/>
      <c r="AU37" s="226">
        <f t="shared" si="86"/>
        <v>0</v>
      </c>
      <c r="AV37" s="227" t="str">
        <f t="shared" ref="AV37:AV40" si="100">IFERROR(AU37/AS37,"n.a.")</f>
        <v>n.a.</v>
      </c>
      <c r="AX37" s="23">
        <f>+_xlfn.XLOOKUP($B37,Expenses_FY25B!$B:$B,Expenses_FY25B!AB:AB)/1000</f>
        <v>0</v>
      </c>
      <c r="AY37" s="25"/>
      <c r="AZ37" s="226">
        <f t="shared" si="87"/>
        <v>0</v>
      </c>
      <c r="BA37" s="227" t="str">
        <f t="shared" ref="BA37:BA40" si="101">IFERROR(AZ37/AX37,"n.a.")</f>
        <v>n.a.</v>
      </c>
      <c r="BC37" s="23">
        <f>+_xlfn.XLOOKUP($B37,Expenses_FY25B!$B:$B,Expenses_FY25B!AC:AC)/1000</f>
        <v>0</v>
      </c>
      <c r="BD37" s="25"/>
      <c r="BE37" s="226">
        <f t="shared" si="88"/>
        <v>0</v>
      </c>
      <c r="BF37" s="227" t="str">
        <f t="shared" ref="BF37:BF40" si="102">IFERROR(BE37/BC37,"n.a.")</f>
        <v>n.a.</v>
      </c>
      <c r="BH37" s="23">
        <f>+_xlfn.XLOOKUP($B37,Expenses_FY25B!$B:$B,Expenses_FY25B!AD:AD)/1000</f>
        <v>0</v>
      </c>
      <c r="BI37" s="25"/>
      <c r="BJ37" s="226">
        <f t="shared" si="89"/>
        <v>0</v>
      </c>
      <c r="BK37" s="227" t="str">
        <f t="shared" ref="BK37:BK40" si="103">IFERROR(BJ37/BH37,"n.a.")</f>
        <v>n.a.</v>
      </c>
      <c r="BM37" s="38">
        <f t="shared" ref="BM37:BM40" si="104">+E37+J37+O37+T37+Y37+AD37+AI37+AN37+AS37+AX37+BC37+BH37</f>
        <v>0</v>
      </c>
      <c r="BN37" s="38">
        <f t="shared" ref="BN37:BN40" si="105">+F37+K37+P37+U37+Z37+AE37+AJ37+AO37+AT37+AY37+BD37+BI37</f>
        <v>0</v>
      </c>
      <c r="BO37" s="8">
        <f t="shared" ref="BO37:BO40" si="106">BM37-BN37</f>
        <v>0</v>
      </c>
      <c r="BP37" s="33" t="str">
        <f t="shared" ref="BP37:BP40" si="107">IFERROR(BO37/BM37,"n.a.")</f>
        <v>n.a.</v>
      </c>
    </row>
    <row r="38" spans="2:68" s="44" customFormat="1" x14ac:dyDescent="0.25">
      <c r="B38">
        <f>+MAX($B$1:B37)+1</f>
        <v>54</v>
      </c>
      <c r="C38" s="15" t="s">
        <v>93</v>
      </c>
      <c r="D38" s="71">
        <v>0</v>
      </c>
      <c r="E38" s="23">
        <f>+_xlfn.XLOOKUP($B38,Expenses_FY25B!$B:$B,Expenses_FY25B!S:S)/1000</f>
        <v>0</v>
      </c>
      <c r="F38" s="25"/>
      <c r="G38" s="8">
        <f t="shared" si="77"/>
        <v>0</v>
      </c>
      <c r="H38" s="33" t="str">
        <f t="shared" si="78"/>
        <v>n.a.</v>
      </c>
      <c r="J38" s="23">
        <f>+_xlfn.XLOOKUP($B38,Expenses_FY25B!$B:$B,Expenses_FY25B!T:T)/1000</f>
        <v>0</v>
      </c>
      <c r="K38" s="25"/>
      <c r="L38" s="226">
        <f t="shared" si="79"/>
        <v>0</v>
      </c>
      <c r="M38" s="227" t="str">
        <f t="shared" si="93"/>
        <v>n.a.</v>
      </c>
      <c r="O38" s="23">
        <f>+_xlfn.XLOOKUP($B38,Expenses_FY25B!$B:$B,Expenses_FY25B!U:U)/1000</f>
        <v>0</v>
      </c>
      <c r="P38" s="25"/>
      <c r="Q38" s="226">
        <f t="shared" si="80"/>
        <v>0</v>
      </c>
      <c r="R38" s="227" t="str">
        <f t="shared" si="94"/>
        <v>n.a.</v>
      </c>
      <c r="T38" s="23">
        <f>+_xlfn.XLOOKUP($B38,Expenses_FY25B!$B:$B,Expenses_FY25B!V:V)/1000</f>
        <v>0</v>
      </c>
      <c r="U38" s="25"/>
      <c r="V38" s="226">
        <f t="shared" si="81"/>
        <v>0</v>
      </c>
      <c r="W38" s="227" t="str">
        <f t="shared" si="95"/>
        <v>n.a.</v>
      </c>
      <c r="Y38" s="23">
        <f>+_xlfn.XLOOKUP($B38,Expenses_FY25B!$B:$B,Expenses_FY25B!W:W)/1000</f>
        <v>0</v>
      </c>
      <c r="Z38" s="25"/>
      <c r="AA38" s="226">
        <f t="shared" si="82"/>
        <v>0</v>
      </c>
      <c r="AB38" s="227" t="str">
        <f t="shared" si="96"/>
        <v>n.a.</v>
      </c>
      <c r="AD38" s="23">
        <f>+_xlfn.XLOOKUP($B38,Expenses_FY25B!$B:$B,Expenses_FY25B!AB:AB)/1000</f>
        <v>0</v>
      </c>
      <c r="AE38" s="25"/>
      <c r="AF38" s="226">
        <f t="shared" si="83"/>
        <v>0</v>
      </c>
      <c r="AG38" s="227" t="str">
        <f t="shared" si="97"/>
        <v>n.a.</v>
      </c>
      <c r="AI38" s="23">
        <f>+_xlfn.XLOOKUP($B38,Expenses_FY25B!$B:$B,Expenses_FY25B!Y:Y)/1000</f>
        <v>0</v>
      </c>
      <c r="AJ38" s="25"/>
      <c r="AK38" s="226">
        <f t="shared" si="84"/>
        <v>0</v>
      </c>
      <c r="AL38" s="227" t="str">
        <f t="shared" si="98"/>
        <v>n.a.</v>
      </c>
      <c r="AN38" s="23">
        <f>+_xlfn.XLOOKUP($B38,Expenses_FY25B!$B:$B,Expenses_FY25B!Z:Z)/1000</f>
        <v>0</v>
      </c>
      <c r="AO38" s="25"/>
      <c r="AP38" s="226">
        <f t="shared" si="85"/>
        <v>0</v>
      </c>
      <c r="AQ38" s="227" t="str">
        <f t="shared" si="99"/>
        <v>n.a.</v>
      </c>
      <c r="AS38" s="23">
        <f>+_xlfn.XLOOKUP($B38,Expenses_FY25B!$B:$B,Expenses_FY25B!AA:AA)/1000</f>
        <v>0</v>
      </c>
      <c r="AT38" s="25"/>
      <c r="AU38" s="226">
        <f t="shared" si="86"/>
        <v>0</v>
      </c>
      <c r="AV38" s="227" t="str">
        <f t="shared" si="100"/>
        <v>n.a.</v>
      </c>
      <c r="AX38" s="23">
        <f>+_xlfn.XLOOKUP($B38,Expenses_FY25B!$B:$B,Expenses_FY25B!AB:AB)/1000</f>
        <v>0</v>
      </c>
      <c r="AY38" s="25"/>
      <c r="AZ38" s="226">
        <f t="shared" si="87"/>
        <v>0</v>
      </c>
      <c r="BA38" s="227" t="str">
        <f t="shared" si="101"/>
        <v>n.a.</v>
      </c>
      <c r="BC38" s="23">
        <f>+_xlfn.XLOOKUP($B38,Expenses_FY25B!$B:$B,Expenses_FY25B!AC:AC)/1000</f>
        <v>0</v>
      </c>
      <c r="BD38" s="25"/>
      <c r="BE38" s="226">
        <f t="shared" si="88"/>
        <v>0</v>
      </c>
      <c r="BF38" s="227" t="str">
        <f t="shared" si="102"/>
        <v>n.a.</v>
      </c>
      <c r="BH38" s="23">
        <f>+_xlfn.XLOOKUP($B38,Expenses_FY25B!$B:$B,Expenses_FY25B!AD:AD)/1000</f>
        <v>0</v>
      </c>
      <c r="BI38" s="25"/>
      <c r="BJ38" s="226">
        <f t="shared" si="89"/>
        <v>0</v>
      </c>
      <c r="BK38" s="227" t="str">
        <f t="shared" si="103"/>
        <v>n.a.</v>
      </c>
      <c r="BM38" s="38">
        <f t="shared" si="104"/>
        <v>0</v>
      </c>
      <c r="BN38" s="38">
        <f t="shared" si="105"/>
        <v>0</v>
      </c>
      <c r="BO38" s="8">
        <f t="shared" si="106"/>
        <v>0</v>
      </c>
      <c r="BP38" s="33" t="str">
        <f t="shared" si="107"/>
        <v>n.a.</v>
      </c>
    </row>
    <row r="39" spans="2:68" s="44" customFormat="1" x14ac:dyDescent="0.25">
      <c r="B39">
        <f>+MAX($B$1:B38)+1</f>
        <v>55</v>
      </c>
      <c r="C39" s="15" t="s">
        <v>94</v>
      </c>
      <c r="D39" s="71">
        <v>5633.6636583256231</v>
      </c>
      <c r="E39" s="23">
        <f>+_xlfn.XLOOKUP($B39,Expenses_FY25B!$B:$B,Expenses_FY25B!S:S)/1000</f>
        <v>0</v>
      </c>
      <c r="F39" s="25"/>
      <c r="G39" s="8">
        <f t="shared" si="77"/>
        <v>0</v>
      </c>
      <c r="H39" s="33" t="str">
        <f t="shared" si="78"/>
        <v>n.a.</v>
      </c>
      <c r="J39" s="23">
        <f>+_xlfn.XLOOKUP($B39,Expenses_FY25B!$B:$B,Expenses_FY25B!T:T)/1000</f>
        <v>0</v>
      </c>
      <c r="K39" s="25"/>
      <c r="L39" s="226">
        <f t="shared" si="79"/>
        <v>0</v>
      </c>
      <c r="M39" s="227" t="str">
        <f t="shared" si="93"/>
        <v>n.a.</v>
      </c>
      <c r="O39" s="23">
        <f>+_xlfn.XLOOKUP($B39,Expenses_FY25B!$B:$B,Expenses_FY25B!U:U)/1000</f>
        <v>0</v>
      </c>
      <c r="P39" s="25"/>
      <c r="Q39" s="226">
        <f t="shared" si="80"/>
        <v>0</v>
      </c>
      <c r="R39" s="227" t="str">
        <f t="shared" si="94"/>
        <v>n.a.</v>
      </c>
      <c r="T39" s="23">
        <f>+_xlfn.XLOOKUP($B39,Expenses_FY25B!$B:$B,Expenses_FY25B!V:V)/1000</f>
        <v>0</v>
      </c>
      <c r="U39" s="25"/>
      <c r="V39" s="226">
        <f t="shared" si="81"/>
        <v>0</v>
      </c>
      <c r="W39" s="227" t="str">
        <f t="shared" si="95"/>
        <v>n.a.</v>
      </c>
      <c r="Y39" s="23">
        <f>+_xlfn.XLOOKUP($B39,Expenses_FY25B!$B:$B,Expenses_FY25B!W:W)/1000</f>
        <v>0</v>
      </c>
      <c r="Z39" s="25"/>
      <c r="AA39" s="226">
        <f t="shared" si="82"/>
        <v>0</v>
      </c>
      <c r="AB39" s="227" t="str">
        <f t="shared" si="96"/>
        <v>n.a.</v>
      </c>
      <c r="AD39" s="23">
        <f>+_xlfn.XLOOKUP($B39,Expenses_FY25B!$B:$B,Expenses_FY25B!AB:AB)/1000</f>
        <v>0</v>
      </c>
      <c r="AE39" s="25"/>
      <c r="AF39" s="226">
        <f t="shared" si="83"/>
        <v>0</v>
      </c>
      <c r="AG39" s="227" t="str">
        <f t="shared" si="97"/>
        <v>n.a.</v>
      </c>
      <c r="AI39" s="23">
        <f>+_xlfn.XLOOKUP($B39,Expenses_FY25B!$B:$B,Expenses_FY25B!Y:Y)/1000</f>
        <v>0</v>
      </c>
      <c r="AJ39" s="25"/>
      <c r="AK39" s="226">
        <f t="shared" si="84"/>
        <v>0</v>
      </c>
      <c r="AL39" s="227" t="str">
        <f t="shared" si="98"/>
        <v>n.a.</v>
      </c>
      <c r="AN39" s="23">
        <f>+_xlfn.XLOOKUP($B39,Expenses_FY25B!$B:$B,Expenses_FY25B!Z:Z)/1000</f>
        <v>0</v>
      </c>
      <c r="AO39" s="25"/>
      <c r="AP39" s="226">
        <f t="shared" si="85"/>
        <v>0</v>
      </c>
      <c r="AQ39" s="227" t="str">
        <f t="shared" si="99"/>
        <v>n.a.</v>
      </c>
      <c r="AS39" s="23">
        <f>+_xlfn.XLOOKUP($B39,Expenses_FY25B!$B:$B,Expenses_FY25B!AA:AA)/1000</f>
        <v>0</v>
      </c>
      <c r="AT39" s="25"/>
      <c r="AU39" s="226">
        <f t="shared" si="86"/>
        <v>0</v>
      </c>
      <c r="AV39" s="227" t="str">
        <f t="shared" si="100"/>
        <v>n.a.</v>
      </c>
      <c r="AX39" s="23">
        <f>+_xlfn.XLOOKUP($B39,Expenses_FY25B!$B:$B,Expenses_FY25B!AB:AB)/1000</f>
        <v>0</v>
      </c>
      <c r="AY39" s="25"/>
      <c r="AZ39" s="226">
        <f t="shared" si="87"/>
        <v>0</v>
      </c>
      <c r="BA39" s="227" t="str">
        <f t="shared" si="101"/>
        <v>n.a.</v>
      </c>
      <c r="BC39" s="23">
        <f>+_xlfn.XLOOKUP($B39,Expenses_FY25B!$B:$B,Expenses_FY25B!AC:AC)/1000</f>
        <v>0</v>
      </c>
      <c r="BD39" s="25"/>
      <c r="BE39" s="226">
        <f t="shared" si="88"/>
        <v>0</v>
      </c>
      <c r="BF39" s="227" t="str">
        <f t="shared" si="102"/>
        <v>n.a.</v>
      </c>
      <c r="BH39" s="23">
        <f>+_xlfn.XLOOKUP($B39,Expenses_FY25B!$B:$B,Expenses_FY25B!AD:AD)/1000</f>
        <v>0</v>
      </c>
      <c r="BI39" s="25"/>
      <c r="BJ39" s="226">
        <f t="shared" si="89"/>
        <v>0</v>
      </c>
      <c r="BK39" s="227" t="str">
        <f t="shared" si="103"/>
        <v>n.a.</v>
      </c>
      <c r="BM39" s="38">
        <f t="shared" si="104"/>
        <v>0</v>
      </c>
      <c r="BN39" s="38">
        <f t="shared" si="105"/>
        <v>0</v>
      </c>
      <c r="BO39" s="8">
        <f t="shared" si="106"/>
        <v>0</v>
      </c>
      <c r="BP39" s="33" t="str">
        <f t="shared" si="107"/>
        <v>n.a.</v>
      </c>
    </row>
    <row r="40" spans="2:68" s="44" customFormat="1" x14ac:dyDescent="0.25">
      <c r="B40">
        <f>+MAX($B$1:B39)+1</f>
        <v>56</v>
      </c>
      <c r="C40" s="15" t="s">
        <v>95</v>
      </c>
      <c r="D40" s="71">
        <v>798.66360000000009</v>
      </c>
      <c r="E40" s="23">
        <f>+_xlfn.XLOOKUP($B40,Expenses_FY25B!$B:$B,Expenses_FY25B!S:S)/1000</f>
        <v>0</v>
      </c>
      <c r="F40" s="25"/>
      <c r="G40" s="8">
        <f t="shared" si="77"/>
        <v>0</v>
      </c>
      <c r="H40" s="33" t="str">
        <f t="shared" si="78"/>
        <v>n.a.</v>
      </c>
      <c r="J40" s="23">
        <f>+_xlfn.XLOOKUP($B40,Expenses_FY25B!$B:$B,Expenses_FY25B!T:T)/1000</f>
        <v>0</v>
      </c>
      <c r="K40" s="25"/>
      <c r="L40" s="226">
        <f t="shared" si="79"/>
        <v>0</v>
      </c>
      <c r="M40" s="227" t="str">
        <f t="shared" si="93"/>
        <v>n.a.</v>
      </c>
      <c r="O40" s="23">
        <f>+_xlfn.XLOOKUP($B40,Expenses_FY25B!$B:$B,Expenses_FY25B!U:U)/1000</f>
        <v>0</v>
      </c>
      <c r="P40" s="25"/>
      <c r="Q40" s="226">
        <f t="shared" si="80"/>
        <v>0</v>
      </c>
      <c r="R40" s="227" t="str">
        <f t="shared" si="94"/>
        <v>n.a.</v>
      </c>
      <c r="T40" s="23">
        <f>+_xlfn.XLOOKUP($B40,Expenses_FY25B!$B:$B,Expenses_FY25B!V:V)/1000</f>
        <v>0</v>
      </c>
      <c r="U40" s="25"/>
      <c r="V40" s="226">
        <f t="shared" si="81"/>
        <v>0</v>
      </c>
      <c r="W40" s="227" t="str">
        <f t="shared" si="95"/>
        <v>n.a.</v>
      </c>
      <c r="Y40" s="23">
        <f>+_xlfn.XLOOKUP($B40,Expenses_FY25B!$B:$B,Expenses_FY25B!W:W)/1000</f>
        <v>0</v>
      </c>
      <c r="Z40" s="25"/>
      <c r="AA40" s="226">
        <f t="shared" si="82"/>
        <v>0</v>
      </c>
      <c r="AB40" s="227" t="str">
        <f t="shared" si="96"/>
        <v>n.a.</v>
      </c>
      <c r="AD40" s="23">
        <f>+_xlfn.XLOOKUP($B40,Expenses_FY25B!$B:$B,Expenses_FY25B!AB:AB)/1000</f>
        <v>0</v>
      </c>
      <c r="AE40" s="25"/>
      <c r="AF40" s="226">
        <f t="shared" si="83"/>
        <v>0</v>
      </c>
      <c r="AG40" s="227" t="str">
        <f t="shared" si="97"/>
        <v>n.a.</v>
      </c>
      <c r="AI40" s="23">
        <f>+_xlfn.XLOOKUP($B40,Expenses_FY25B!$B:$B,Expenses_FY25B!Y:Y)/1000</f>
        <v>0</v>
      </c>
      <c r="AJ40" s="25"/>
      <c r="AK40" s="226">
        <f t="shared" si="84"/>
        <v>0</v>
      </c>
      <c r="AL40" s="227" t="str">
        <f t="shared" si="98"/>
        <v>n.a.</v>
      </c>
      <c r="AN40" s="23">
        <f>+_xlfn.XLOOKUP($B40,Expenses_FY25B!$B:$B,Expenses_FY25B!Z:Z)/1000</f>
        <v>0</v>
      </c>
      <c r="AO40" s="25"/>
      <c r="AP40" s="226">
        <f t="shared" si="85"/>
        <v>0</v>
      </c>
      <c r="AQ40" s="227" t="str">
        <f t="shared" si="99"/>
        <v>n.a.</v>
      </c>
      <c r="AS40" s="23">
        <f>+_xlfn.XLOOKUP($B40,Expenses_FY25B!$B:$B,Expenses_FY25B!AA:AA)/1000</f>
        <v>0</v>
      </c>
      <c r="AT40" s="25"/>
      <c r="AU40" s="226">
        <f t="shared" si="86"/>
        <v>0</v>
      </c>
      <c r="AV40" s="227" t="str">
        <f t="shared" si="100"/>
        <v>n.a.</v>
      </c>
      <c r="AX40" s="23">
        <f>+_xlfn.XLOOKUP($B40,Expenses_FY25B!$B:$B,Expenses_FY25B!AB:AB)/1000</f>
        <v>0</v>
      </c>
      <c r="AY40" s="25"/>
      <c r="AZ40" s="226">
        <f t="shared" si="87"/>
        <v>0</v>
      </c>
      <c r="BA40" s="227" t="str">
        <f t="shared" si="101"/>
        <v>n.a.</v>
      </c>
      <c r="BC40" s="23">
        <f>+_xlfn.XLOOKUP($B40,Expenses_FY25B!$B:$B,Expenses_FY25B!AC:AC)/1000</f>
        <v>0</v>
      </c>
      <c r="BD40" s="25"/>
      <c r="BE40" s="226">
        <f t="shared" si="88"/>
        <v>0</v>
      </c>
      <c r="BF40" s="227" t="str">
        <f t="shared" si="102"/>
        <v>n.a.</v>
      </c>
      <c r="BH40" s="23">
        <f>+_xlfn.XLOOKUP($B40,Expenses_FY25B!$B:$B,Expenses_FY25B!AD:AD)/1000</f>
        <v>0</v>
      </c>
      <c r="BI40" s="25"/>
      <c r="BJ40" s="226">
        <f t="shared" si="89"/>
        <v>0</v>
      </c>
      <c r="BK40" s="227" t="str">
        <f t="shared" si="103"/>
        <v>n.a.</v>
      </c>
      <c r="BM40" s="38">
        <f t="shared" si="104"/>
        <v>0</v>
      </c>
      <c r="BN40" s="38">
        <f t="shared" si="105"/>
        <v>0</v>
      </c>
      <c r="BO40" s="8">
        <f t="shared" si="106"/>
        <v>0</v>
      </c>
      <c r="BP40" s="33" t="str">
        <f t="shared" si="107"/>
        <v>n.a.</v>
      </c>
    </row>
    <row r="41" spans="2:68" s="44" customFormat="1" x14ac:dyDescent="0.25">
      <c r="B41">
        <f>+MAX($B$1:B40)+1</f>
        <v>57</v>
      </c>
      <c r="C41" s="15" t="s">
        <v>96</v>
      </c>
      <c r="D41" s="71">
        <v>506.14694999999995</v>
      </c>
      <c r="E41" s="23">
        <f>+_xlfn.XLOOKUP($B41,Expenses_FY25B!$B:$B,Expenses_FY25B!S:S)/1000</f>
        <v>0</v>
      </c>
      <c r="F41" s="25"/>
      <c r="G41" s="8">
        <f t="shared" si="77"/>
        <v>0</v>
      </c>
      <c r="H41" s="33" t="str">
        <f t="shared" si="78"/>
        <v>n.a.</v>
      </c>
      <c r="J41" s="23">
        <f>+_xlfn.XLOOKUP($B41,Expenses_FY25B!$B:$B,Expenses_FY25B!T:T)/1000</f>
        <v>0</v>
      </c>
      <c r="K41" s="25"/>
      <c r="L41" s="8">
        <f t="shared" si="79"/>
        <v>0</v>
      </c>
      <c r="M41" s="33" t="str">
        <f t="shared" ref="M41" si="108">IFERROR(L41/J41,"n.a.")</f>
        <v>n.a.</v>
      </c>
      <c r="O41" s="23">
        <f>+_xlfn.XLOOKUP($B41,Expenses_FY25B!$B:$B,Expenses_FY25B!U:U)/1000</f>
        <v>0</v>
      </c>
      <c r="P41" s="25"/>
      <c r="Q41" s="8">
        <f t="shared" si="80"/>
        <v>0</v>
      </c>
      <c r="R41" s="33" t="str">
        <f t="shared" ref="R41" si="109">IFERROR(Q41/O41,"n.a.")</f>
        <v>n.a.</v>
      </c>
      <c r="T41" s="23">
        <f>+_xlfn.XLOOKUP($B41,Expenses_FY25B!$B:$B,Expenses_FY25B!V:V)/1000</f>
        <v>0</v>
      </c>
      <c r="U41" s="25"/>
      <c r="V41" s="8">
        <f t="shared" si="81"/>
        <v>0</v>
      </c>
      <c r="W41" s="33" t="str">
        <f t="shared" ref="W41:W46" si="110">IFERROR(V41/T41,"n.a.")</f>
        <v>n.a.</v>
      </c>
      <c r="Y41" s="23">
        <f>+_xlfn.XLOOKUP($B41,Expenses_FY25B!$B:$B,Expenses_FY25B!W:W)/1000</f>
        <v>0</v>
      </c>
      <c r="Z41" s="25"/>
      <c r="AA41" s="8">
        <f t="shared" si="82"/>
        <v>0</v>
      </c>
      <c r="AB41" s="33" t="str">
        <f t="shared" ref="AB41:AB46" si="111">IFERROR(AA41/Y41,"n.a.")</f>
        <v>n.a.</v>
      </c>
      <c r="AD41" s="23">
        <f>+_xlfn.XLOOKUP($B41,Expenses_FY25B!$B:$B,Expenses_FY25B!AB:AB)/1000</f>
        <v>0</v>
      </c>
      <c r="AE41" s="25"/>
      <c r="AF41" s="8">
        <f t="shared" si="83"/>
        <v>0</v>
      </c>
      <c r="AG41" s="33" t="str">
        <f t="shared" ref="AG41:AG46" si="112">IFERROR(AF41/AD41,"n.a.")</f>
        <v>n.a.</v>
      </c>
      <c r="AI41" s="23">
        <f>+_xlfn.XLOOKUP($B41,Expenses_FY25B!$B:$B,Expenses_FY25B!Y:Y)/1000</f>
        <v>0</v>
      </c>
      <c r="AJ41" s="25"/>
      <c r="AK41" s="8">
        <f t="shared" si="84"/>
        <v>0</v>
      </c>
      <c r="AL41" s="33" t="str">
        <f t="shared" ref="AL41" si="113">IFERROR(AK41/AI41,"n.a.")</f>
        <v>n.a.</v>
      </c>
      <c r="AN41" s="23">
        <f>+_xlfn.XLOOKUP($B41,Expenses_FY25B!$B:$B,Expenses_FY25B!Z:Z)/1000</f>
        <v>0</v>
      </c>
      <c r="AO41" s="25"/>
      <c r="AP41" s="8">
        <f t="shared" si="85"/>
        <v>0</v>
      </c>
      <c r="AQ41" s="33" t="str">
        <f t="shared" ref="AQ41" si="114">IFERROR(AP41/AN41,"n.a.")</f>
        <v>n.a.</v>
      </c>
      <c r="AS41" s="23">
        <f>+_xlfn.XLOOKUP($B41,Expenses_FY25B!$B:$B,Expenses_FY25B!AA:AA)/1000</f>
        <v>0</v>
      </c>
      <c r="AT41" s="25"/>
      <c r="AU41" s="8">
        <f t="shared" si="86"/>
        <v>0</v>
      </c>
      <c r="AV41" s="33" t="str">
        <f t="shared" ref="AV41" si="115">IFERROR(AU41/AS41,"n.a.")</f>
        <v>n.a.</v>
      </c>
      <c r="AX41" s="23">
        <f>+_xlfn.XLOOKUP($B41,Expenses_FY25B!$B:$B,Expenses_FY25B!AB:AB)/1000</f>
        <v>0</v>
      </c>
      <c r="AY41" s="25"/>
      <c r="AZ41" s="8">
        <f t="shared" si="87"/>
        <v>0</v>
      </c>
      <c r="BA41" s="33" t="str">
        <f t="shared" ref="BA41" si="116">IFERROR(AZ41/AX41,"n.a.")</f>
        <v>n.a.</v>
      </c>
      <c r="BC41" s="23">
        <f>+_xlfn.XLOOKUP($B41,Expenses_FY25B!$B:$B,Expenses_FY25B!AC:AC)/1000</f>
        <v>0</v>
      </c>
      <c r="BD41" s="25"/>
      <c r="BE41" s="8">
        <f t="shared" si="88"/>
        <v>0</v>
      </c>
      <c r="BF41" s="33" t="str">
        <f t="shared" ref="BF41" si="117">IFERROR(BE41/BC41,"n.a.")</f>
        <v>n.a.</v>
      </c>
      <c r="BH41" s="23">
        <f>+_xlfn.XLOOKUP($B41,Expenses_FY25B!$B:$B,Expenses_FY25B!AD:AD)/1000</f>
        <v>0</v>
      </c>
      <c r="BI41" s="25"/>
      <c r="BJ41" s="8">
        <f t="shared" si="89"/>
        <v>0</v>
      </c>
      <c r="BK41" s="33" t="str">
        <f t="shared" ref="BK41" si="118">IFERROR(BJ41/BH41,"n.a.")</f>
        <v>n.a.</v>
      </c>
      <c r="BM41" s="38">
        <f t="shared" si="90"/>
        <v>0</v>
      </c>
      <c r="BN41" s="38">
        <f t="shared" si="91"/>
        <v>0</v>
      </c>
      <c r="BO41" s="8">
        <f t="shared" si="92"/>
        <v>0</v>
      </c>
      <c r="BP41" s="33" t="str">
        <f t="shared" ref="BP41" si="119">IFERROR(BO41/BM41,"n.a.")</f>
        <v>n.a.</v>
      </c>
    </row>
    <row r="42" spans="2:68" s="44" customFormat="1" x14ac:dyDescent="0.25">
      <c r="B42">
        <f>+MAX($B$1:B41)+1</f>
        <v>58</v>
      </c>
      <c r="C42" s="15" t="s">
        <v>97</v>
      </c>
      <c r="D42" s="71"/>
      <c r="E42" s="23">
        <f>+_xlfn.XLOOKUP($B42,Expenses_FY25B!$B:$B,Expenses_FY25B!S:S)/1000</f>
        <v>0</v>
      </c>
      <c r="F42" s="25"/>
      <c r="G42" s="8">
        <f t="shared" ref="G42:G46" si="120">E42-F42</f>
        <v>0</v>
      </c>
      <c r="H42" s="33" t="str">
        <f t="shared" ref="H42:H46" si="121">IFERROR(G42/E42,"n.a.")</f>
        <v>n.a.</v>
      </c>
      <c r="J42" s="23">
        <f>+_xlfn.XLOOKUP($B42,Expenses_FY25B!$B:$B,Expenses_FY25B!T:T)/1000</f>
        <v>0</v>
      </c>
      <c r="K42" s="25"/>
      <c r="L42" s="8">
        <f t="shared" ref="L42:L46" si="122">J42-K42</f>
        <v>0</v>
      </c>
      <c r="M42" s="33" t="str">
        <f t="shared" ref="M42:M46" si="123">IFERROR(L42/J42,"n.a.")</f>
        <v>n.a.</v>
      </c>
      <c r="O42" s="23">
        <f>+_xlfn.XLOOKUP($B42,Expenses_FY25B!$B:$B,Expenses_FY25B!U:U)/1000</f>
        <v>0</v>
      </c>
      <c r="P42" s="25"/>
      <c r="Q42" s="8">
        <f t="shared" ref="Q42:Q46" si="124">O42-P42</f>
        <v>0</v>
      </c>
      <c r="R42" s="33" t="str">
        <f t="shared" ref="R42:R46" si="125">IFERROR(Q42/O42,"n.a.")</f>
        <v>n.a.</v>
      </c>
      <c r="T42" s="23">
        <f>+_xlfn.XLOOKUP($B42,Expenses_FY25B!$B:$B,Expenses_FY25B!V:V)/1000</f>
        <v>0</v>
      </c>
      <c r="U42" s="25"/>
      <c r="V42" s="8">
        <f t="shared" si="81"/>
        <v>0</v>
      </c>
      <c r="W42" s="33" t="str">
        <f t="shared" si="110"/>
        <v>n.a.</v>
      </c>
      <c r="Y42" s="23">
        <f>+_xlfn.XLOOKUP($B42,Expenses_FY25B!$B:$B,Expenses_FY25B!W:W)/1000</f>
        <v>0</v>
      </c>
      <c r="Z42" s="25"/>
      <c r="AA42" s="8">
        <f t="shared" si="82"/>
        <v>0</v>
      </c>
      <c r="AB42" s="33" t="str">
        <f t="shared" si="111"/>
        <v>n.a.</v>
      </c>
      <c r="AD42" s="23">
        <f>+_xlfn.XLOOKUP($B42,Expenses_FY25B!$B:$B,Expenses_FY25B!AB:AB)/1000</f>
        <v>0</v>
      </c>
      <c r="AE42" s="25"/>
      <c r="AF42" s="8">
        <f t="shared" si="83"/>
        <v>0</v>
      </c>
      <c r="AG42" s="33" t="str">
        <f t="shared" si="112"/>
        <v>n.a.</v>
      </c>
      <c r="AI42" s="23">
        <f>+_xlfn.XLOOKUP($B42,Expenses_FY25B!$B:$B,Expenses_FY25B!Y:Y)/1000</f>
        <v>0</v>
      </c>
      <c r="AJ42" s="25"/>
      <c r="AK42" s="8">
        <f t="shared" ref="AK42:AK46" si="126">AI42-AJ42</f>
        <v>0</v>
      </c>
      <c r="AL42" s="33" t="str">
        <f t="shared" ref="AL42:AL46" si="127">IFERROR(AK42/AI42,"n.a.")</f>
        <v>n.a.</v>
      </c>
      <c r="AN42" s="23">
        <f>+_xlfn.XLOOKUP($B42,Expenses_FY25B!$B:$B,Expenses_FY25B!Z:Z)/1000</f>
        <v>0</v>
      </c>
      <c r="AO42" s="25"/>
      <c r="AP42" s="8">
        <f t="shared" ref="AP42:AP46" si="128">AN42-AO42</f>
        <v>0</v>
      </c>
      <c r="AQ42" s="33" t="str">
        <f t="shared" ref="AQ42:AQ46" si="129">IFERROR(AP42/AN42,"n.a.")</f>
        <v>n.a.</v>
      </c>
      <c r="AS42" s="23">
        <f>+_xlfn.XLOOKUP($B42,Expenses_FY25B!$B:$B,Expenses_FY25B!AA:AA)/1000</f>
        <v>0</v>
      </c>
      <c r="AT42" s="25"/>
      <c r="AU42" s="8">
        <f t="shared" ref="AU42:AU46" si="130">AS42-AT42</f>
        <v>0</v>
      </c>
      <c r="AV42" s="33" t="str">
        <f t="shared" ref="AV42:AV46" si="131">IFERROR(AU42/AS42,"n.a.")</f>
        <v>n.a.</v>
      </c>
      <c r="AX42" s="23">
        <f>+_xlfn.XLOOKUP($B42,Expenses_FY25B!$B:$B,Expenses_FY25B!AB:AB)/1000</f>
        <v>0</v>
      </c>
      <c r="AY42" s="25"/>
      <c r="AZ42" s="8">
        <f t="shared" ref="AZ42:AZ46" si="132">AX42-AY42</f>
        <v>0</v>
      </c>
      <c r="BA42" s="33" t="str">
        <f t="shared" ref="BA42:BA46" si="133">IFERROR(AZ42/AX42,"n.a.")</f>
        <v>n.a.</v>
      </c>
      <c r="BC42" s="23">
        <f>+_xlfn.XLOOKUP($B42,Expenses_FY25B!$B:$B,Expenses_FY25B!AC:AC)/1000</f>
        <v>0</v>
      </c>
      <c r="BD42" s="25"/>
      <c r="BE42" s="8">
        <f t="shared" ref="BE42:BE46" si="134">BC42-BD42</f>
        <v>0</v>
      </c>
      <c r="BF42" s="33" t="str">
        <f t="shared" ref="BF42:BF46" si="135">IFERROR(BE42/BC42,"n.a.")</f>
        <v>n.a.</v>
      </c>
      <c r="BH42" s="23">
        <f>+_xlfn.XLOOKUP($B42,Expenses_FY25B!$B:$B,Expenses_FY25B!AD:AD)/1000</f>
        <v>0</v>
      </c>
      <c r="BI42" s="25"/>
      <c r="BJ42" s="8">
        <f t="shared" ref="BJ42:BJ46" si="136">BH42-BI42</f>
        <v>0</v>
      </c>
      <c r="BK42" s="33" t="str">
        <f t="shared" ref="BK42:BK46" si="137">IFERROR(BJ42/BH42,"n.a.")</f>
        <v>n.a.</v>
      </c>
      <c r="BM42" s="38">
        <f t="shared" si="90"/>
        <v>0</v>
      </c>
      <c r="BN42" s="38">
        <f t="shared" ref="BN42:BN46" si="138">+F42+K42+P42+U42+Z42+AE42+AJ42+AO42+AT42+AY42+BD42+BI42</f>
        <v>0</v>
      </c>
      <c r="BO42" s="8">
        <f t="shared" ref="BO42:BO46" si="139">BM42-BN42</f>
        <v>0</v>
      </c>
      <c r="BP42" s="33" t="str">
        <f t="shared" ref="BP42:BP46" si="140">IFERROR(BO42/BM42,"n.a.")</f>
        <v>n.a.</v>
      </c>
    </row>
    <row r="43" spans="2:68" s="44" customFormat="1" x14ac:dyDescent="0.25">
      <c r="B43">
        <f>+MAX($B$1:B42)+1</f>
        <v>59</v>
      </c>
      <c r="C43" s="15" t="s">
        <v>203</v>
      </c>
      <c r="D43" s="71"/>
      <c r="E43" s="23">
        <f>+_xlfn.XLOOKUP($B43,Expenses_FY25B!$B:$B,Expenses_FY25B!S:S)/1000</f>
        <v>0</v>
      </c>
      <c r="F43" s="25"/>
      <c r="G43" s="8">
        <f t="shared" si="120"/>
        <v>0</v>
      </c>
      <c r="H43" s="33" t="str">
        <f t="shared" si="121"/>
        <v>n.a.</v>
      </c>
      <c r="J43" s="23">
        <f>+_xlfn.XLOOKUP($B43,Expenses_FY25B!$B:$B,Expenses_FY25B!T:T)/1000</f>
        <v>0</v>
      </c>
      <c r="K43" s="25"/>
      <c r="L43" s="8">
        <f t="shared" si="122"/>
        <v>0</v>
      </c>
      <c r="M43" s="33" t="str">
        <f t="shared" si="123"/>
        <v>n.a.</v>
      </c>
      <c r="O43" s="23">
        <f>+_xlfn.XLOOKUP($B43,Expenses_FY25B!$B:$B,Expenses_FY25B!U:U)/1000</f>
        <v>0</v>
      </c>
      <c r="P43" s="25"/>
      <c r="Q43" s="8">
        <f t="shared" si="124"/>
        <v>0</v>
      </c>
      <c r="R43" s="33" t="str">
        <f t="shared" si="125"/>
        <v>n.a.</v>
      </c>
      <c r="T43" s="23">
        <f>+_xlfn.XLOOKUP($B43,Expenses_FY25B!$B:$B,Expenses_FY25B!V:V)/1000</f>
        <v>0</v>
      </c>
      <c r="U43" s="25"/>
      <c r="V43" s="8">
        <f t="shared" si="81"/>
        <v>0</v>
      </c>
      <c r="W43" s="33" t="str">
        <f t="shared" si="110"/>
        <v>n.a.</v>
      </c>
      <c r="Y43" s="23">
        <f>+_xlfn.XLOOKUP($B43,Expenses_FY25B!$B:$B,Expenses_FY25B!W:W)/1000</f>
        <v>0</v>
      </c>
      <c r="Z43" s="25"/>
      <c r="AA43" s="8">
        <f t="shared" si="82"/>
        <v>0</v>
      </c>
      <c r="AB43" s="33" t="str">
        <f t="shared" si="111"/>
        <v>n.a.</v>
      </c>
      <c r="AD43" s="23">
        <f>+_xlfn.XLOOKUP($B43,Expenses_FY25B!$B:$B,Expenses_FY25B!AB:AB)/1000</f>
        <v>0</v>
      </c>
      <c r="AE43" s="25"/>
      <c r="AF43" s="8">
        <f t="shared" si="83"/>
        <v>0</v>
      </c>
      <c r="AG43" s="33" t="str">
        <f t="shared" si="112"/>
        <v>n.a.</v>
      </c>
      <c r="AI43" s="23">
        <f>+_xlfn.XLOOKUP($B43,Expenses_FY25B!$B:$B,Expenses_FY25B!Y:Y)/1000</f>
        <v>0</v>
      </c>
      <c r="AJ43" s="25"/>
      <c r="AK43" s="8">
        <f t="shared" si="126"/>
        <v>0</v>
      </c>
      <c r="AL43" s="33" t="str">
        <f t="shared" si="127"/>
        <v>n.a.</v>
      </c>
      <c r="AN43" s="23">
        <f>+_xlfn.XLOOKUP($B43,Expenses_FY25B!$B:$B,Expenses_FY25B!Z:Z)/1000</f>
        <v>0</v>
      </c>
      <c r="AO43" s="25"/>
      <c r="AP43" s="8">
        <f t="shared" si="128"/>
        <v>0</v>
      </c>
      <c r="AQ43" s="33" t="str">
        <f t="shared" si="129"/>
        <v>n.a.</v>
      </c>
      <c r="AS43" s="23">
        <f>+_xlfn.XLOOKUP($B43,Expenses_FY25B!$B:$B,Expenses_FY25B!AA:AA)/1000</f>
        <v>0</v>
      </c>
      <c r="AT43" s="25"/>
      <c r="AU43" s="8">
        <f t="shared" si="130"/>
        <v>0</v>
      </c>
      <c r="AV43" s="33" t="str">
        <f t="shared" si="131"/>
        <v>n.a.</v>
      </c>
      <c r="AX43" s="23">
        <f>+_xlfn.XLOOKUP($B43,Expenses_FY25B!$B:$B,Expenses_FY25B!AB:AB)/1000</f>
        <v>0</v>
      </c>
      <c r="AY43" s="25"/>
      <c r="AZ43" s="8">
        <f t="shared" si="132"/>
        <v>0</v>
      </c>
      <c r="BA43" s="33" t="str">
        <f t="shared" si="133"/>
        <v>n.a.</v>
      </c>
      <c r="BC43" s="23">
        <f>+_xlfn.XLOOKUP($B43,Expenses_FY25B!$B:$B,Expenses_FY25B!AC:AC)/1000</f>
        <v>0</v>
      </c>
      <c r="BD43" s="25"/>
      <c r="BE43" s="8">
        <f t="shared" si="134"/>
        <v>0</v>
      </c>
      <c r="BF43" s="33" t="str">
        <f t="shared" si="135"/>
        <v>n.a.</v>
      </c>
      <c r="BH43" s="23">
        <f>+_xlfn.XLOOKUP($B43,Expenses_FY25B!$B:$B,Expenses_FY25B!AD:AD)/1000</f>
        <v>0</v>
      </c>
      <c r="BI43" s="25"/>
      <c r="BJ43" s="8">
        <f t="shared" si="136"/>
        <v>0</v>
      </c>
      <c r="BK43" s="33" t="str">
        <f t="shared" si="137"/>
        <v>n.a.</v>
      </c>
      <c r="BM43" s="38">
        <f t="shared" si="90"/>
        <v>0</v>
      </c>
      <c r="BN43" s="38">
        <f t="shared" si="138"/>
        <v>0</v>
      </c>
      <c r="BO43" s="8">
        <f t="shared" si="139"/>
        <v>0</v>
      </c>
      <c r="BP43" s="33" t="str">
        <f t="shared" si="140"/>
        <v>n.a.</v>
      </c>
    </row>
    <row r="44" spans="2:68" s="44" customFormat="1" x14ac:dyDescent="0.25">
      <c r="B44">
        <f>+MAX($B$1:B43)+1</f>
        <v>60</v>
      </c>
      <c r="C44" s="15" t="s">
        <v>98</v>
      </c>
      <c r="D44" s="71"/>
      <c r="E44" s="23">
        <f>+_xlfn.XLOOKUP($B44,Expenses_FY25B!$B:$B,Expenses_FY25B!S:S)/1000</f>
        <v>0</v>
      </c>
      <c r="F44" s="25"/>
      <c r="G44" s="8">
        <f t="shared" si="120"/>
        <v>0</v>
      </c>
      <c r="H44" s="33" t="str">
        <f t="shared" si="121"/>
        <v>n.a.</v>
      </c>
      <c r="J44" s="23">
        <f>+_xlfn.XLOOKUP($B44,Expenses_FY25B!$B:$B,Expenses_FY25B!T:T)/1000</f>
        <v>0</v>
      </c>
      <c r="K44" s="25"/>
      <c r="L44" s="8">
        <f t="shared" si="122"/>
        <v>0</v>
      </c>
      <c r="M44" s="33" t="str">
        <f t="shared" si="123"/>
        <v>n.a.</v>
      </c>
      <c r="O44" s="23">
        <f>+_xlfn.XLOOKUP($B44,Expenses_FY25B!$B:$B,Expenses_FY25B!U:U)/1000</f>
        <v>0</v>
      </c>
      <c r="P44" s="25"/>
      <c r="Q44" s="8">
        <f t="shared" si="124"/>
        <v>0</v>
      </c>
      <c r="R44" s="33" t="str">
        <f t="shared" si="125"/>
        <v>n.a.</v>
      </c>
      <c r="T44" s="23">
        <f>+_xlfn.XLOOKUP($B44,Expenses_FY25B!$B:$B,Expenses_FY25B!V:V)/1000</f>
        <v>0</v>
      </c>
      <c r="U44" s="25"/>
      <c r="V44" s="8">
        <f t="shared" si="81"/>
        <v>0</v>
      </c>
      <c r="W44" s="33" t="str">
        <f t="shared" si="110"/>
        <v>n.a.</v>
      </c>
      <c r="Y44" s="23">
        <f>+_xlfn.XLOOKUP($B44,Expenses_FY25B!$B:$B,Expenses_FY25B!W:W)/1000</f>
        <v>0</v>
      </c>
      <c r="Z44" s="25"/>
      <c r="AA44" s="8">
        <f t="shared" si="82"/>
        <v>0</v>
      </c>
      <c r="AB44" s="33" t="str">
        <f t="shared" si="111"/>
        <v>n.a.</v>
      </c>
      <c r="AD44" s="23">
        <f>+_xlfn.XLOOKUP($B44,Expenses_FY25B!$B:$B,Expenses_FY25B!AB:AB)/1000</f>
        <v>0</v>
      </c>
      <c r="AE44" s="25"/>
      <c r="AF44" s="8">
        <f t="shared" si="83"/>
        <v>0</v>
      </c>
      <c r="AG44" s="33" t="str">
        <f t="shared" si="112"/>
        <v>n.a.</v>
      </c>
      <c r="AI44" s="23">
        <f>+_xlfn.XLOOKUP($B44,Expenses_FY25B!$B:$B,Expenses_FY25B!Y:Y)/1000</f>
        <v>0</v>
      </c>
      <c r="AJ44" s="25"/>
      <c r="AK44" s="8">
        <f t="shared" si="126"/>
        <v>0</v>
      </c>
      <c r="AL44" s="33" t="str">
        <f t="shared" si="127"/>
        <v>n.a.</v>
      </c>
      <c r="AN44" s="23">
        <f>+_xlfn.XLOOKUP($B44,Expenses_FY25B!$B:$B,Expenses_FY25B!Z:Z)/1000</f>
        <v>0</v>
      </c>
      <c r="AO44" s="25"/>
      <c r="AP44" s="8">
        <f t="shared" si="128"/>
        <v>0</v>
      </c>
      <c r="AQ44" s="33" t="str">
        <f t="shared" si="129"/>
        <v>n.a.</v>
      </c>
      <c r="AS44" s="23">
        <f>+_xlfn.XLOOKUP($B44,Expenses_FY25B!$B:$B,Expenses_FY25B!AA:AA)/1000</f>
        <v>0</v>
      </c>
      <c r="AT44" s="25"/>
      <c r="AU44" s="8">
        <f t="shared" si="130"/>
        <v>0</v>
      </c>
      <c r="AV44" s="33" t="str">
        <f t="shared" si="131"/>
        <v>n.a.</v>
      </c>
      <c r="AX44" s="23">
        <f>+_xlfn.XLOOKUP($B44,Expenses_FY25B!$B:$B,Expenses_FY25B!AB:AB)/1000</f>
        <v>0</v>
      </c>
      <c r="AY44" s="25"/>
      <c r="AZ44" s="8">
        <f t="shared" si="132"/>
        <v>0</v>
      </c>
      <c r="BA44" s="33" t="str">
        <f t="shared" si="133"/>
        <v>n.a.</v>
      </c>
      <c r="BC44" s="23">
        <f>+_xlfn.XLOOKUP($B44,Expenses_FY25B!$B:$B,Expenses_FY25B!AC:AC)/1000</f>
        <v>0</v>
      </c>
      <c r="BD44" s="25"/>
      <c r="BE44" s="8">
        <f t="shared" si="134"/>
        <v>0</v>
      </c>
      <c r="BF44" s="33" t="str">
        <f t="shared" si="135"/>
        <v>n.a.</v>
      </c>
      <c r="BH44" s="23">
        <f>+_xlfn.XLOOKUP($B44,Expenses_FY25B!$B:$B,Expenses_FY25B!AD:AD)/1000</f>
        <v>0</v>
      </c>
      <c r="BI44" s="25"/>
      <c r="BJ44" s="8">
        <f t="shared" si="136"/>
        <v>0</v>
      </c>
      <c r="BK44" s="33" t="str">
        <f t="shared" si="137"/>
        <v>n.a.</v>
      </c>
      <c r="BM44" s="38">
        <f t="shared" si="90"/>
        <v>0</v>
      </c>
      <c r="BN44" s="38">
        <f t="shared" si="138"/>
        <v>0</v>
      </c>
      <c r="BO44" s="8">
        <f t="shared" si="139"/>
        <v>0</v>
      </c>
      <c r="BP44" s="33" t="str">
        <f t="shared" si="140"/>
        <v>n.a.</v>
      </c>
    </row>
    <row r="45" spans="2:68" s="44" customFormat="1" x14ac:dyDescent="0.25">
      <c r="B45">
        <f>+MAX($B$1:B44)+1</f>
        <v>61</v>
      </c>
      <c r="C45" s="15" t="s">
        <v>99</v>
      </c>
      <c r="D45" s="71"/>
      <c r="E45" s="23">
        <f>+_xlfn.XLOOKUP($B45,Expenses_FY25B!$B:$B,Expenses_FY25B!S:S)/1000</f>
        <v>0</v>
      </c>
      <c r="F45" s="25"/>
      <c r="G45" s="8">
        <f t="shared" si="120"/>
        <v>0</v>
      </c>
      <c r="H45" s="33" t="str">
        <f t="shared" si="121"/>
        <v>n.a.</v>
      </c>
      <c r="J45" s="23">
        <f>+_xlfn.XLOOKUP($B45,Expenses_FY25B!$B:$B,Expenses_FY25B!T:T)/1000</f>
        <v>0</v>
      </c>
      <c r="K45" s="25"/>
      <c r="L45" s="8">
        <f t="shared" si="122"/>
        <v>0</v>
      </c>
      <c r="M45" s="33" t="str">
        <f t="shared" si="123"/>
        <v>n.a.</v>
      </c>
      <c r="O45" s="23">
        <f>+_xlfn.XLOOKUP($B45,Expenses_FY25B!$B:$B,Expenses_FY25B!U:U)/1000</f>
        <v>0</v>
      </c>
      <c r="P45" s="25"/>
      <c r="Q45" s="8">
        <f t="shared" si="124"/>
        <v>0</v>
      </c>
      <c r="R45" s="33" t="str">
        <f t="shared" si="125"/>
        <v>n.a.</v>
      </c>
      <c r="T45" s="23">
        <f>+_xlfn.XLOOKUP($B45,Expenses_FY25B!$B:$B,Expenses_FY25B!V:V)/1000</f>
        <v>0</v>
      </c>
      <c r="U45" s="25"/>
      <c r="V45" s="8">
        <f t="shared" si="81"/>
        <v>0</v>
      </c>
      <c r="W45" s="33" t="str">
        <f t="shared" si="110"/>
        <v>n.a.</v>
      </c>
      <c r="Y45" s="23">
        <f>+_xlfn.XLOOKUP($B45,Expenses_FY25B!$B:$B,Expenses_FY25B!W:W)/1000</f>
        <v>0</v>
      </c>
      <c r="Z45" s="25"/>
      <c r="AA45" s="8">
        <f t="shared" si="82"/>
        <v>0</v>
      </c>
      <c r="AB45" s="33" t="str">
        <f t="shared" si="111"/>
        <v>n.a.</v>
      </c>
      <c r="AD45" s="23">
        <f>+_xlfn.XLOOKUP($B45,Expenses_FY25B!$B:$B,Expenses_FY25B!AB:AB)/1000</f>
        <v>0</v>
      </c>
      <c r="AE45" s="25"/>
      <c r="AF45" s="8">
        <f t="shared" si="83"/>
        <v>0</v>
      </c>
      <c r="AG45" s="33" t="str">
        <f t="shared" si="112"/>
        <v>n.a.</v>
      </c>
      <c r="AI45" s="23">
        <f>+_xlfn.XLOOKUP($B45,Expenses_FY25B!$B:$B,Expenses_FY25B!Y:Y)/1000</f>
        <v>0</v>
      </c>
      <c r="AJ45" s="25"/>
      <c r="AK45" s="8">
        <f t="shared" si="126"/>
        <v>0</v>
      </c>
      <c r="AL45" s="33" t="str">
        <f t="shared" si="127"/>
        <v>n.a.</v>
      </c>
      <c r="AN45" s="23">
        <f>+_xlfn.XLOOKUP($B45,Expenses_FY25B!$B:$B,Expenses_FY25B!Z:Z)/1000</f>
        <v>0</v>
      </c>
      <c r="AO45" s="25"/>
      <c r="AP45" s="8">
        <f t="shared" si="128"/>
        <v>0</v>
      </c>
      <c r="AQ45" s="33" t="str">
        <f t="shared" si="129"/>
        <v>n.a.</v>
      </c>
      <c r="AS45" s="23">
        <f>+_xlfn.XLOOKUP($B45,Expenses_FY25B!$B:$B,Expenses_FY25B!AA:AA)/1000</f>
        <v>0</v>
      </c>
      <c r="AT45" s="25"/>
      <c r="AU45" s="8">
        <f t="shared" si="130"/>
        <v>0</v>
      </c>
      <c r="AV45" s="33" t="str">
        <f t="shared" si="131"/>
        <v>n.a.</v>
      </c>
      <c r="AX45" s="23">
        <f>+_xlfn.XLOOKUP($B45,Expenses_FY25B!$B:$B,Expenses_FY25B!AB:AB)/1000</f>
        <v>0</v>
      </c>
      <c r="AY45" s="25"/>
      <c r="AZ45" s="8">
        <f t="shared" si="132"/>
        <v>0</v>
      </c>
      <c r="BA45" s="33" t="str">
        <f t="shared" si="133"/>
        <v>n.a.</v>
      </c>
      <c r="BC45" s="23">
        <f>+_xlfn.XLOOKUP($B45,Expenses_FY25B!$B:$B,Expenses_FY25B!AC:AC)/1000</f>
        <v>0</v>
      </c>
      <c r="BD45" s="25"/>
      <c r="BE45" s="8">
        <f t="shared" si="134"/>
        <v>0</v>
      </c>
      <c r="BF45" s="33" t="str">
        <f t="shared" si="135"/>
        <v>n.a.</v>
      </c>
      <c r="BH45" s="23">
        <f>+_xlfn.XLOOKUP($B45,Expenses_FY25B!$B:$B,Expenses_FY25B!AD:AD)/1000</f>
        <v>0</v>
      </c>
      <c r="BI45" s="25"/>
      <c r="BJ45" s="8">
        <f t="shared" si="136"/>
        <v>0</v>
      </c>
      <c r="BK45" s="33" t="str">
        <f t="shared" si="137"/>
        <v>n.a.</v>
      </c>
      <c r="BM45" s="38">
        <f t="shared" si="90"/>
        <v>0</v>
      </c>
      <c r="BN45" s="38">
        <f t="shared" si="138"/>
        <v>0</v>
      </c>
      <c r="BO45" s="8">
        <f t="shared" si="139"/>
        <v>0</v>
      </c>
      <c r="BP45" s="33" t="str">
        <f t="shared" si="140"/>
        <v>n.a.</v>
      </c>
    </row>
    <row r="46" spans="2:68" s="44" customFormat="1" x14ac:dyDescent="0.25">
      <c r="B46">
        <f>+MAX($B$1:B45)+1</f>
        <v>62</v>
      </c>
      <c r="C46" s="15" t="s">
        <v>100</v>
      </c>
      <c r="D46" s="71"/>
      <c r="E46" s="23">
        <f>+_xlfn.XLOOKUP($B46,Expenses_FY25B!$B:$B,Expenses_FY25B!S:S)/1000</f>
        <v>0</v>
      </c>
      <c r="F46" s="25"/>
      <c r="G46" s="8">
        <f t="shared" si="120"/>
        <v>0</v>
      </c>
      <c r="H46" s="33" t="str">
        <f t="shared" si="121"/>
        <v>n.a.</v>
      </c>
      <c r="J46" s="23">
        <f>+_xlfn.XLOOKUP($B46,Expenses_FY25B!$B:$B,Expenses_FY25B!T:T)/1000</f>
        <v>0</v>
      </c>
      <c r="K46" s="25"/>
      <c r="L46" s="8">
        <f t="shared" si="122"/>
        <v>0</v>
      </c>
      <c r="M46" s="33" t="str">
        <f t="shared" si="123"/>
        <v>n.a.</v>
      </c>
      <c r="O46" s="23">
        <f>+_xlfn.XLOOKUP($B46,Expenses_FY25B!$B:$B,Expenses_FY25B!U:U)/1000</f>
        <v>0</v>
      </c>
      <c r="P46" s="25"/>
      <c r="Q46" s="8">
        <f t="shared" si="124"/>
        <v>0</v>
      </c>
      <c r="R46" s="33" t="str">
        <f t="shared" si="125"/>
        <v>n.a.</v>
      </c>
      <c r="T46" s="23">
        <f>+_xlfn.XLOOKUP($B46,Expenses_FY25B!$B:$B,Expenses_FY25B!V:V)/1000</f>
        <v>0</v>
      </c>
      <c r="U46" s="25"/>
      <c r="V46" s="8">
        <f t="shared" si="81"/>
        <v>0</v>
      </c>
      <c r="W46" s="33" t="str">
        <f t="shared" si="110"/>
        <v>n.a.</v>
      </c>
      <c r="Y46" s="23">
        <f>+_xlfn.XLOOKUP($B46,Expenses_FY25B!$B:$B,Expenses_FY25B!W:W)/1000</f>
        <v>0</v>
      </c>
      <c r="Z46" s="25"/>
      <c r="AA46" s="8">
        <f t="shared" si="82"/>
        <v>0</v>
      </c>
      <c r="AB46" s="33" t="str">
        <f t="shared" si="111"/>
        <v>n.a.</v>
      </c>
      <c r="AD46" s="23">
        <f>+_xlfn.XLOOKUP($B46,Expenses_FY25B!$B:$B,Expenses_FY25B!AB:AB)/1000</f>
        <v>0</v>
      </c>
      <c r="AE46" s="25"/>
      <c r="AF46" s="8">
        <f t="shared" si="83"/>
        <v>0</v>
      </c>
      <c r="AG46" s="33" t="str">
        <f t="shared" si="112"/>
        <v>n.a.</v>
      </c>
      <c r="AI46" s="23">
        <f>+_xlfn.XLOOKUP($B46,Expenses_FY25B!$B:$B,Expenses_FY25B!Y:Y)/1000</f>
        <v>0</v>
      </c>
      <c r="AJ46" s="25"/>
      <c r="AK46" s="8">
        <f t="shared" si="126"/>
        <v>0</v>
      </c>
      <c r="AL46" s="33" t="str">
        <f t="shared" si="127"/>
        <v>n.a.</v>
      </c>
      <c r="AN46" s="23">
        <f>+_xlfn.XLOOKUP($B46,Expenses_FY25B!$B:$B,Expenses_FY25B!Z:Z)/1000</f>
        <v>0</v>
      </c>
      <c r="AO46" s="25"/>
      <c r="AP46" s="8">
        <f t="shared" si="128"/>
        <v>0</v>
      </c>
      <c r="AQ46" s="33" t="str">
        <f t="shared" si="129"/>
        <v>n.a.</v>
      </c>
      <c r="AS46" s="23">
        <f>+_xlfn.XLOOKUP($B46,Expenses_FY25B!$B:$B,Expenses_FY25B!AA:AA)/1000</f>
        <v>0</v>
      </c>
      <c r="AT46" s="25"/>
      <c r="AU46" s="8">
        <f t="shared" si="130"/>
        <v>0</v>
      </c>
      <c r="AV46" s="33" t="str">
        <f t="shared" si="131"/>
        <v>n.a.</v>
      </c>
      <c r="AX46" s="23">
        <f>+_xlfn.XLOOKUP($B46,Expenses_FY25B!$B:$B,Expenses_FY25B!AB:AB)/1000</f>
        <v>0</v>
      </c>
      <c r="AY46" s="25"/>
      <c r="AZ46" s="8">
        <f t="shared" si="132"/>
        <v>0</v>
      </c>
      <c r="BA46" s="33" t="str">
        <f t="shared" si="133"/>
        <v>n.a.</v>
      </c>
      <c r="BC46" s="23">
        <f>+_xlfn.XLOOKUP($B46,Expenses_FY25B!$B:$B,Expenses_FY25B!AC:AC)/1000</f>
        <v>0</v>
      </c>
      <c r="BD46" s="25"/>
      <c r="BE46" s="8">
        <f t="shared" si="134"/>
        <v>0</v>
      </c>
      <c r="BF46" s="33" t="str">
        <f t="shared" si="135"/>
        <v>n.a.</v>
      </c>
      <c r="BH46" s="23">
        <f>+_xlfn.XLOOKUP($B46,Expenses_FY25B!$B:$B,Expenses_FY25B!AD:AD)/1000</f>
        <v>0</v>
      </c>
      <c r="BI46" s="25"/>
      <c r="BJ46" s="8">
        <f t="shared" si="136"/>
        <v>0</v>
      </c>
      <c r="BK46" s="33" t="str">
        <f t="shared" si="137"/>
        <v>n.a.</v>
      </c>
      <c r="BM46" s="38">
        <f t="shared" si="90"/>
        <v>0</v>
      </c>
      <c r="BN46" s="38">
        <f t="shared" si="138"/>
        <v>0</v>
      </c>
      <c r="BO46" s="8">
        <f t="shared" si="139"/>
        <v>0</v>
      </c>
      <c r="BP46" s="33" t="str">
        <f t="shared" si="140"/>
        <v>n.a.</v>
      </c>
    </row>
    <row r="47" spans="2:68" s="44" customFormat="1" x14ac:dyDescent="0.25">
      <c r="C47" s="97" t="s">
        <v>103</v>
      </c>
      <c r="D47" s="72">
        <v>16756.74973602562</v>
      </c>
      <c r="E47" s="216">
        <f>SUM(E36:E46)</f>
        <v>0</v>
      </c>
      <c r="F47" s="32">
        <f>SUM(F36:F46)</f>
        <v>0</v>
      </c>
      <c r="G47" s="32">
        <f t="shared" si="77"/>
        <v>0</v>
      </c>
      <c r="H47" s="34" t="str">
        <f>IFERROR(G47/E47,"")</f>
        <v/>
      </c>
      <c r="J47" s="32">
        <f>SUM(J36:J46)</f>
        <v>0</v>
      </c>
      <c r="K47" s="32">
        <f>SUM(K36:K46)</f>
        <v>0</v>
      </c>
      <c r="L47" s="32">
        <f t="shared" si="79"/>
        <v>0</v>
      </c>
      <c r="M47" s="34" t="str">
        <f>IFERROR(L47/J47,"")</f>
        <v/>
      </c>
      <c r="O47" s="32">
        <f>SUM(O36:O46)</f>
        <v>0</v>
      </c>
      <c r="P47" s="41">
        <f>SUM(P36:P46)</f>
        <v>0</v>
      </c>
      <c r="Q47" s="32">
        <f t="shared" si="80"/>
        <v>0</v>
      </c>
      <c r="R47" s="34" t="str">
        <f>IFERROR(Q47/O47,"")</f>
        <v/>
      </c>
      <c r="T47" s="32">
        <f>SUM(T36:T46)</f>
        <v>0</v>
      </c>
      <c r="U47" s="41">
        <f>SUM(U36:U46)</f>
        <v>0</v>
      </c>
      <c r="V47" s="32">
        <f t="shared" si="81"/>
        <v>0</v>
      </c>
      <c r="W47" s="34" t="str">
        <f>IFERROR(V47/T47,"")</f>
        <v/>
      </c>
      <c r="Y47" s="32">
        <f>SUM(Y36:Y46)</f>
        <v>0</v>
      </c>
      <c r="Z47" s="41">
        <f>SUM(Z36:Z46)</f>
        <v>0</v>
      </c>
      <c r="AA47" s="32">
        <f t="shared" si="82"/>
        <v>0</v>
      </c>
      <c r="AB47" s="34" t="str">
        <f>IFERROR(AA47/Y47,"")</f>
        <v/>
      </c>
      <c r="AD47" s="32">
        <f>SUM(AD36:AD46)</f>
        <v>0</v>
      </c>
      <c r="AE47" s="41">
        <f>SUM(AE36:AE46)</f>
        <v>0</v>
      </c>
      <c r="AF47" s="32">
        <f t="shared" si="83"/>
        <v>0</v>
      </c>
      <c r="AG47" s="34" t="str">
        <f>IFERROR(AF47/AD47,"")</f>
        <v/>
      </c>
      <c r="AI47" s="32">
        <f>SUM(AI36:AI46)</f>
        <v>0</v>
      </c>
      <c r="AJ47" s="41">
        <f>SUM(AJ36:AJ46)</f>
        <v>0</v>
      </c>
      <c r="AK47" s="32">
        <f t="shared" si="84"/>
        <v>0</v>
      </c>
      <c r="AL47" s="34" t="str">
        <f>IFERROR(AK47/AI47,"")</f>
        <v/>
      </c>
      <c r="AN47" s="32">
        <f>SUM(AN36:AN46)</f>
        <v>0</v>
      </c>
      <c r="AO47" s="41">
        <f>SUM(AO36:AO46)</f>
        <v>0</v>
      </c>
      <c r="AP47" s="32">
        <f t="shared" si="85"/>
        <v>0</v>
      </c>
      <c r="AQ47" s="34" t="str">
        <f>IFERROR(AP47/AN47,"")</f>
        <v/>
      </c>
      <c r="AS47" s="32">
        <f>SUM(AS36:AS46)</f>
        <v>0</v>
      </c>
      <c r="AT47" s="41">
        <f>SUM(AT36:AT46)</f>
        <v>0</v>
      </c>
      <c r="AU47" s="32">
        <f t="shared" si="86"/>
        <v>0</v>
      </c>
      <c r="AV47" s="34" t="str">
        <f>IFERROR(AU47/AS47,"")</f>
        <v/>
      </c>
      <c r="AX47" s="32">
        <f>SUM(AX36:AX46)</f>
        <v>0</v>
      </c>
      <c r="AY47" s="41">
        <f>SUM(AY36:AY46)</f>
        <v>0</v>
      </c>
      <c r="AZ47" s="32">
        <f t="shared" si="87"/>
        <v>0</v>
      </c>
      <c r="BA47" s="34" t="str">
        <f>IFERROR(AZ47/AX47,"")</f>
        <v/>
      </c>
      <c r="BC47" s="32">
        <f>SUM(BC36:BC46)</f>
        <v>0</v>
      </c>
      <c r="BD47" s="41">
        <f>SUM(BD36:BD46)</f>
        <v>0</v>
      </c>
      <c r="BE47" s="32">
        <f t="shared" si="88"/>
        <v>0</v>
      </c>
      <c r="BF47" s="34" t="str">
        <f>IFERROR(BE47/BC47,"")</f>
        <v/>
      </c>
      <c r="BH47" s="32">
        <f>SUM(BH36:BH46)</f>
        <v>0</v>
      </c>
      <c r="BI47" s="41">
        <f>SUM(BI36:BI46)</f>
        <v>0</v>
      </c>
      <c r="BJ47" s="32">
        <f t="shared" si="89"/>
        <v>0</v>
      </c>
      <c r="BK47" s="34" t="str">
        <f>IFERROR(BJ47/BH47,"")</f>
        <v/>
      </c>
      <c r="BM47" s="216">
        <f>SUM(BM36:BM46)</f>
        <v>0</v>
      </c>
      <c r="BN47" s="41">
        <f>SUM(BN36:BN46)</f>
        <v>0</v>
      </c>
      <c r="BO47" s="32">
        <f t="shared" si="92"/>
        <v>0</v>
      </c>
      <c r="BP47" s="34" t="str">
        <f>IFERROR(BO47/BM47,"")</f>
        <v/>
      </c>
    </row>
    <row r="48" spans="2:68" s="44" customFormat="1" x14ac:dyDescent="0.25">
      <c r="C48" s="97"/>
      <c r="D48" s="72"/>
      <c r="E48" s="239"/>
      <c r="F48" s="105"/>
      <c r="G48" s="105"/>
      <c r="H48" s="101"/>
      <c r="J48" s="105"/>
      <c r="K48" s="105"/>
      <c r="L48" s="105"/>
      <c r="M48" s="101"/>
      <c r="O48" s="105"/>
      <c r="P48" s="228"/>
      <c r="Q48" s="105"/>
      <c r="R48" s="101"/>
      <c r="T48" s="105"/>
      <c r="U48" s="228"/>
      <c r="V48" s="105"/>
      <c r="W48" s="101"/>
      <c r="Y48" s="105"/>
      <c r="Z48" s="228"/>
      <c r="AA48" s="105"/>
      <c r="AB48" s="101"/>
      <c r="AD48" s="105"/>
      <c r="AE48" s="228"/>
      <c r="AF48" s="105"/>
      <c r="AG48" s="101"/>
      <c r="AI48" s="105"/>
      <c r="AJ48" s="228"/>
      <c r="AK48" s="105"/>
      <c r="AL48" s="101"/>
      <c r="AN48" s="105"/>
      <c r="AO48" s="228"/>
      <c r="AP48" s="105"/>
      <c r="AQ48" s="101"/>
      <c r="AS48" s="105"/>
      <c r="AT48" s="228"/>
      <c r="AU48" s="105"/>
      <c r="AV48" s="101"/>
      <c r="AX48" s="105"/>
      <c r="AY48" s="228"/>
      <c r="AZ48" s="105"/>
      <c r="BA48" s="101"/>
      <c r="BC48" s="105"/>
      <c r="BD48" s="228"/>
      <c r="BE48" s="105"/>
      <c r="BF48" s="101"/>
      <c r="BH48" s="105"/>
      <c r="BI48" s="228"/>
      <c r="BJ48" s="105"/>
      <c r="BK48" s="101"/>
      <c r="BM48" s="239"/>
      <c r="BN48" s="228"/>
      <c r="BO48" s="105"/>
      <c r="BP48" s="101"/>
    </row>
    <row r="49" spans="2:70" s="44" customFormat="1" x14ac:dyDescent="0.25">
      <c r="B49" s="44">
        <f>+MAX($B$1:B47)+1</f>
        <v>63</v>
      </c>
      <c r="C49" s="229" t="s">
        <v>104</v>
      </c>
      <c r="D49" s="73"/>
      <c r="E49" s="23">
        <f>+_xlfn.XLOOKUP($B49,Expenses_FY25B!$B:$B,Expenses_FY25B!S:S)/1000</f>
        <v>0</v>
      </c>
      <c r="F49" s="25"/>
      <c r="G49" s="8">
        <f t="shared" si="77"/>
        <v>0</v>
      </c>
      <c r="H49" s="33" t="str">
        <f t="shared" ref="H49:H50" si="141">IFERROR(G49/E49,"n.a.")</f>
        <v>n.a.</v>
      </c>
      <c r="J49" s="23">
        <f>+_xlfn.XLOOKUP($B49,Expenses_FY25B!$B:$B,Expenses_FY25B!T:T)/1000</f>
        <v>0</v>
      </c>
      <c r="K49" s="25"/>
      <c r="L49" s="8">
        <f t="shared" si="79"/>
        <v>0</v>
      </c>
      <c r="M49" s="33" t="str">
        <f t="shared" ref="M49:M52" si="142">IFERROR(L49/J49,"n.a.")</f>
        <v>n.a.</v>
      </c>
      <c r="O49" s="23">
        <f>+_xlfn.XLOOKUP($B49,Expenses_FY25B!$B:$B,Expenses_FY25B!U:U)/1000</f>
        <v>0</v>
      </c>
      <c r="P49" s="25"/>
      <c r="Q49" s="8">
        <f t="shared" si="80"/>
        <v>0</v>
      </c>
      <c r="R49" s="33" t="str">
        <f t="shared" ref="R49:R50" si="143">IFERROR(Q49/O49,"n.a.")</f>
        <v>n.a.</v>
      </c>
      <c r="T49" s="23">
        <f>+_xlfn.XLOOKUP($B49,Expenses_FY25B!$B:$B,Expenses_FY25B!V:V)/1000</f>
        <v>0</v>
      </c>
      <c r="U49" s="25"/>
      <c r="V49" s="8">
        <f t="shared" ref="V49:V51" si="144">T49-U49</f>
        <v>0</v>
      </c>
      <c r="W49" s="33" t="str">
        <f t="shared" ref="W49:W50" si="145">IFERROR(V49/T49,"n.a.")</f>
        <v>n.a.</v>
      </c>
      <c r="Y49" s="23">
        <f>+_xlfn.XLOOKUP($B49,Expenses_FY25B!$B:$B,Expenses_FY25B!W:W)/1000</f>
        <v>0</v>
      </c>
      <c r="Z49" s="25"/>
      <c r="AA49" s="8">
        <f t="shared" ref="AA49:AA51" si="146">Y49-Z49</f>
        <v>0</v>
      </c>
      <c r="AB49" s="33" t="str">
        <f t="shared" ref="AB49:AB50" si="147">IFERROR(AA49/Y49,"n.a.")</f>
        <v>n.a.</v>
      </c>
      <c r="AD49" s="23">
        <f>+_xlfn.XLOOKUP($B49,Expenses_FY25B!$B:$B,Expenses_FY25B!T:T)/1000</f>
        <v>0</v>
      </c>
      <c r="AE49" s="25"/>
      <c r="AF49" s="8">
        <f t="shared" ref="AF49:AF51" si="148">AD49-AE49</f>
        <v>0</v>
      </c>
      <c r="AG49" s="33" t="str">
        <f t="shared" ref="AG49:AG50" si="149">IFERROR(AF49/AD49,"n.a.")</f>
        <v>n.a.</v>
      </c>
      <c r="AI49" s="23">
        <f>+_xlfn.XLOOKUP($B49,Expenses_FY25B!$B:$B,Expenses_FY25B!Y:Y)/1000</f>
        <v>0</v>
      </c>
      <c r="AJ49" s="25"/>
      <c r="AK49" s="8">
        <f t="shared" si="84"/>
        <v>0</v>
      </c>
      <c r="AL49" s="33" t="str">
        <f t="shared" ref="AL49:AL50" si="150">IFERROR(AK49/AI49,"n.a.")</f>
        <v>n.a.</v>
      </c>
      <c r="AN49" s="23">
        <f>+_xlfn.XLOOKUP($B49,Expenses_FY25B!$B:$B,Expenses_FY25B!Z:Z)/1000</f>
        <v>0</v>
      </c>
      <c r="AO49" s="25"/>
      <c r="AP49" s="8">
        <f t="shared" si="85"/>
        <v>0</v>
      </c>
      <c r="AQ49" s="33" t="str">
        <f t="shared" ref="AQ49:AQ50" si="151">IFERROR(AP49/AN49,"n.a.")</f>
        <v>n.a.</v>
      </c>
      <c r="AS49" s="23">
        <f>+_xlfn.XLOOKUP($B49,Expenses_FY25B!$B:$B,Expenses_FY25B!AA:AA)/1000</f>
        <v>0</v>
      </c>
      <c r="AT49" s="25"/>
      <c r="AU49" s="8">
        <f t="shared" si="86"/>
        <v>0</v>
      </c>
      <c r="AV49" s="33" t="str">
        <f t="shared" ref="AV49:AV50" si="152">IFERROR(AU49/AS49,"n.a.")</f>
        <v>n.a.</v>
      </c>
      <c r="AX49" s="23">
        <f>+_xlfn.XLOOKUP($B49,Expenses_FY25B!$B:$B,Expenses_FY25B!AB:AB)/1000</f>
        <v>0</v>
      </c>
      <c r="AY49" s="25"/>
      <c r="AZ49" s="8">
        <f t="shared" si="87"/>
        <v>0</v>
      </c>
      <c r="BA49" s="33" t="str">
        <f t="shared" ref="BA49:BA50" si="153">IFERROR(AZ49/AX49,"n.a.")</f>
        <v>n.a.</v>
      </c>
      <c r="BC49" s="23">
        <f>+_xlfn.XLOOKUP($B49,Expenses_FY25B!$B:$B,Expenses_FY25B!AC:AC)/1000</f>
        <v>0</v>
      </c>
      <c r="BD49" s="25"/>
      <c r="BE49" s="8">
        <f t="shared" si="88"/>
        <v>0</v>
      </c>
      <c r="BF49" s="33" t="str">
        <f t="shared" ref="BF49:BF50" si="154">IFERROR(BE49/BC49,"n.a.")</f>
        <v>n.a.</v>
      </c>
      <c r="BH49" s="23">
        <f>+_xlfn.XLOOKUP($B49,Expenses_FY25B!$B:$B,Expenses_FY25B!AD:AD)/1000</f>
        <v>0</v>
      </c>
      <c r="BI49" s="25"/>
      <c r="BJ49" s="8">
        <f t="shared" si="89"/>
        <v>0</v>
      </c>
      <c r="BK49" s="33" t="str">
        <f t="shared" ref="BK49:BK50" si="155">IFERROR(BJ49/BH49,"n.a.")</f>
        <v>n.a.</v>
      </c>
      <c r="BM49" s="38">
        <f>+E49+J49+O49+T49+Y49+AD49+AI49+AN49+AS49+AX49+BC49+BH49</f>
        <v>0</v>
      </c>
      <c r="BN49" s="38">
        <f t="shared" ref="BN49:BN52" si="156">+F49+K49+P49+U49+Z49+AE49+AJ49+AO49+AT49+AY49+BD49+BI49</f>
        <v>0</v>
      </c>
      <c r="BO49" s="8">
        <f t="shared" si="92"/>
        <v>0</v>
      </c>
      <c r="BP49" s="33" t="str">
        <f t="shared" ref="BP49:BP52" si="157">IFERROR(BO49/BM49,"n.a.")</f>
        <v>n.a.</v>
      </c>
    </row>
    <row r="50" spans="2:70" s="44" customFormat="1" x14ac:dyDescent="0.25">
      <c r="B50" s="44">
        <f>+MAX($B$1:B49)+1</f>
        <v>64</v>
      </c>
      <c r="C50" s="229" t="s">
        <v>83</v>
      </c>
      <c r="D50" s="73"/>
      <c r="E50" s="23">
        <f>+_xlfn.XLOOKUP($B50,Expenses_FY25B!$B:$B,Expenses_FY25B!S:S)/1000</f>
        <v>0</v>
      </c>
      <c r="F50" s="25"/>
      <c r="G50" s="8">
        <f t="shared" si="77"/>
        <v>0</v>
      </c>
      <c r="H50" s="33" t="str">
        <f t="shared" si="141"/>
        <v>n.a.</v>
      </c>
      <c r="J50" s="23">
        <f>+_xlfn.XLOOKUP($B50,Expenses_FY25B!$B:$B,Expenses_FY25B!T:T)/1000</f>
        <v>0</v>
      </c>
      <c r="K50" s="25"/>
      <c r="L50" s="8">
        <f t="shared" si="79"/>
        <v>0</v>
      </c>
      <c r="M50" s="33" t="str">
        <f t="shared" si="142"/>
        <v>n.a.</v>
      </c>
      <c r="O50" s="23">
        <f>+_xlfn.XLOOKUP($B50,Expenses_FY25B!$B:$B,Expenses_FY25B!U:U)/1000</f>
        <v>0</v>
      </c>
      <c r="P50" s="25"/>
      <c r="Q50" s="8">
        <f t="shared" si="80"/>
        <v>0</v>
      </c>
      <c r="R50" s="33" t="str">
        <f t="shared" si="143"/>
        <v>n.a.</v>
      </c>
      <c r="T50" s="23">
        <f>+_xlfn.XLOOKUP($B50,Expenses_FY25B!$B:$B,Expenses_FY25B!V:V)/1000</f>
        <v>0</v>
      </c>
      <c r="U50" s="25"/>
      <c r="V50" s="8">
        <f t="shared" si="144"/>
        <v>0</v>
      </c>
      <c r="W50" s="33" t="str">
        <f t="shared" si="145"/>
        <v>n.a.</v>
      </c>
      <c r="Y50" s="23">
        <f>+_xlfn.XLOOKUP($B50,Expenses_FY25B!$B:$B,Expenses_FY25B!W:W)/1000</f>
        <v>0</v>
      </c>
      <c r="Z50" s="25"/>
      <c r="AA50" s="8">
        <f t="shared" si="146"/>
        <v>0</v>
      </c>
      <c r="AB50" s="33" t="str">
        <f t="shared" si="147"/>
        <v>n.a.</v>
      </c>
      <c r="AD50" s="23">
        <f>+_xlfn.XLOOKUP($B50,Expenses_FY25B!$B:$B,Expenses_FY25B!T:T)/1000</f>
        <v>0</v>
      </c>
      <c r="AE50" s="25"/>
      <c r="AF50" s="8">
        <f t="shared" si="148"/>
        <v>0</v>
      </c>
      <c r="AG50" s="33" t="str">
        <f t="shared" si="149"/>
        <v>n.a.</v>
      </c>
      <c r="AI50" s="23">
        <f>+_xlfn.XLOOKUP($B50,Expenses_FY25B!$B:$B,Expenses_FY25B!Y:Y)/1000</f>
        <v>0</v>
      </c>
      <c r="AJ50" s="25"/>
      <c r="AK50" s="8">
        <f t="shared" si="84"/>
        <v>0</v>
      </c>
      <c r="AL50" s="33" t="str">
        <f t="shared" si="150"/>
        <v>n.a.</v>
      </c>
      <c r="AN50" s="23">
        <f>+_xlfn.XLOOKUP($B50,Expenses_FY25B!$B:$B,Expenses_FY25B!Z:Z)/1000</f>
        <v>0</v>
      </c>
      <c r="AO50" s="25"/>
      <c r="AP50" s="8">
        <f t="shared" si="85"/>
        <v>0</v>
      </c>
      <c r="AQ50" s="33" t="str">
        <f t="shared" si="151"/>
        <v>n.a.</v>
      </c>
      <c r="AS50" s="23">
        <f>+_xlfn.XLOOKUP($B50,Expenses_FY25B!$B:$B,Expenses_FY25B!AA:AA)/1000</f>
        <v>0</v>
      </c>
      <c r="AT50" s="25"/>
      <c r="AU50" s="8">
        <f t="shared" si="86"/>
        <v>0</v>
      </c>
      <c r="AV50" s="33" t="str">
        <f t="shared" si="152"/>
        <v>n.a.</v>
      </c>
      <c r="AX50" s="23">
        <f>+_xlfn.XLOOKUP($B50,Expenses_FY25B!$B:$B,Expenses_FY25B!AB:AB)/1000</f>
        <v>0</v>
      </c>
      <c r="AY50" s="25"/>
      <c r="AZ50" s="8">
        <f t="shared" si="87"/>
        <v>0</v>
      </c>
      <c r="BA50" s="33" t="str">
        <f t="shared" si="153"/>
        <v>n.a.</v>
      </c>
      <c r="BC50" s="23">
        <f>+_xlfn.XLOOKUP($B50,Expenses_FY25B!$B:$B,Expenses_FY25B!AC:AC)/1000</f>
        <v>0</v>
      </c>
      <c r="BD50" s="25"/>
      <c r="BE50" s="8">
        <f t="shared" si="88"/>
        <v>0</v>
      </c>
      <c r="BF50" s="33" t="str">
        <f t="shared" si="154"/>
        <v>n.a.</v>
      </c>
      <c r="BH50" s="23">
        <f>+_xlfn.XLOOKUP($B50,Expenses_FY25B!$B:$B,Expenses_FY25B!AD:AD)/1000</f>
        <v>0</v>
      </c>
      <c r="BI50" s="25"/>
      <c r="BJ50" s="8">
        <f t="shared" si="89"/>
        <v>0</v>
      </c>
      <c r="BK50" s="33" t="str">
        <f t="shared" si="155"/>
        <v>n.a.</v>
      </c>
      <c r="BM50" s="38">
        <f t="shared" ref="BM50:BM52" si="158">+E50+J50+O50+T50+Y50+AD50+AI50+AN50+AS50+AX50+BC50+BH50</f>
        <v>0</v>
      </c>
      <c r="BN50" s="38">
        <f t="shared" si="156"/>
        <v>0</v>
      </c>
      <c r="BO50" s="8">
        <f t="shared" si="92"/>
        <v>0</v>
      </c>
      <c r="BP50" s="33" t="str">
        <f t="shared" si="157"/>
        <v>n.a.</v>
      </c>
    </row>
    <row r="51" spans="2:70" s="44" customFormat="1" x14ac:dyDescent="0.25">
      <c r="C51" s="75" t="s">
        <v>105</v>
      </c>
      <c r="D51" s="73"/>
      <c r="E51" s="216">
        <f>SUM(E33,E47,E49:E50)</f>
        <v>0</v>
      </c>
      <c r="F51" s="32">
        <f>SUM(F33,F47,F49:F50)</f>
        <v>0</v>
      </c>
      <c r="G51" s="32">
        <f t="shared" ref="G51" si="159">E51-F51</f>
        <v>0</v>
      </c>
      <c r="H51" s="34" t="str">
        <f>IFERROR(G51/E51,"")</f>
        <v/>
      </c>
      <c r="J51" s="32">
        <f>SUM(J33,J47,J49:J50)</f>
        <v>0</v>
      </c>
      <c r="K51" s="32">
        <f>SUM(K33,K47,K49:K50)</f>
        <v>0</v>
      </c>
      <c r="L51" s="32">
        <f t="shared" si="79"/>
        <v>0</v>
      </c>
      <c r="M51" s="34" t="str">
        <f t="shared" si="142"/>
        <v>n.a.</v>
      </c>
      <c r="O51" s="32">
        <f>SUM(O33,O47,O49:O50)</f>
        <v>0</v>
      </c>
      <c r="P51" s="41">
        <f>SUM(P33,P47,P49:P50)</f>
        <v>0</v>
      </c>
      <c r="Q51" s="32">
        <f t="shared" si="80"/>
        <v>0</v>
      </c>
      <c r="R51" s="34" t="str">
        <f>IFERROR(Q51/O51,"")</f>
        <v/>
      </c>
      <c r="T51" s="32">
        <f>SUM(T33,T47,T49:T50)</f>
        <v>0</v>
      </c>
      <c r="U51" s="41">
        <f>SUM(U33,U47,U49:U50)</f>
        <v>0</v>
      </c>
      <c r="V51" s="32">
        <f t="shared" si="144"/>
        <v>0</v>
      </c>
      <c r="W51" s="34" t="str">
        <f>IFERROR(V51/T51,"")</f>
        <v/>
      </c>
      <c r="Y51" s="32">
        <f>SUM(Y33,Y47,Y49:Y50)</f>
        <v>0</v>
      </c>
      <c r="Z51" s="41">
        <f>SUM(Z33,Z47,Z49:Z50)</f>
        <v>0</v>
      </c>
      <c r="AA51" s="32">
        <f t="shared" si="146"/>
        <v>0</v>
      </c>
      <c r="AB51" s="34" t="str">
        <f>IFERROR(AA51/Y51,"")</f>
        <v/>
      </c>
      <c r="AD51" s="32">
        <f>SUM(AD33,AD47,AD49:AD50)</f>
        <v>0</v>
      </c>
      <c r="AE51" s="41">
        <f>SUM(AE33,AE47,AE49:AE50)</f>
        <v>0</v>
      </c>
      <c r="AF51" s="32">
        <f t="shared" si="148"/>
        <v>0</v>
      </c>
      <c r="AG51" s="34" t="str">
        <f>IFERROR(AF51/AD51,"")</f>
        <v/>
      </c>
      <c r="AI51" s="32">
        <f>SUM(AI33,AI47,AI49:AI50)</f>
        <v>0</v>
      </c>
      <c r="AJ51" s="41">
        <f>SUM(AJ33,AJ47,AJ49:AJ50)</f>
        <v>0</v>
      </c>
      <c r="AK51" s="32">
        <f t="shared" si="84"/>
        <v>0</v>
      </c>
      <c r="AL51" s="34" t="str">
        <f>IFERROR(AK51/AI51,"")</f>
        <v/>
      </c>
      <c r="AN51" s="32">
        <f>SUM(AN33,AN47,AN49:AN50)</f>
        <v>0</v>
      </c>
      <c r="AO51" s="41">
        <f>SUM(AO33,AO47,AO49:AO50)</f>
        <v>0</v>
      </c>
      <c r="AP51" s="32">
        <f t="shared" si="85"/>
        <v>0</v>
      </c>
      <c r="AQ51" s="34" t="str">
        <f>IFERROR(AP51/AN51,"")</f>
        <v/>
      </c>
      <c r="AS51" s="32">
        <f>SUM(AS33,AS47,AS49:AS50)</f>
        <v>0</v>
      </c>
      <c r="AT51" s="41">
        <f>SUM(AT33,AT47,AT49:AT50)</f>
        <v>0</v>
      </c>
      <c r="AU51" s="32">
        <f t="shared" si="86"/>
        <v>0</v>
      </c>
      <c r="AV51" s="34" t="str">
        <f>IFERROR(AU51/AS51,"")</f>
        <v/>
      </c>
      <c r="AX51" s="32">
        <f>SUM(AX33,AX47,AX49:AX50)</f>
        <v>0</v>
      </c>
      <c r="AY51" s="41">
        <f>SUM(AY33,AY47,AY49:AY50)</f>
        <v>0</v>
      </c>
      <c r="AZ51" s="32">
        <f t="shared" si="87"/>
        <v>0</v>
      </c>
      <c r="BA51" s="34" t="str">
        <f>IFERROR(AZ51/AX51,"")</f>
        <v/>
      </c>
      <c r="BC51" s="32">
        <f>SUM(BC33,BC47,BC49:BC50)</f>
        <v>0</v>
      </c>
      <c r="BD51" s="41">
        <f>SUM(BD33,BD47,BD49:BD50)</f>
        <v>0</v>
      </c>
      <c r="BE51" s="32">
        <f t="shared" si="88"/>
        <v>0</v>
      </c>
      <c r="BF51" s="34" t="str">
        <f>IFERROR(BE51/BC51,"")</f>
        <v/>
      </c>
      <c r="BH51" s="32">
        <f>SUM(BH33,BH47,BH49:BH50)</f>
        <v>0</v>
      </c>
      <c r="BI51" s="41">
        <f>SUM(BI33,BI47,BI49:BI50)</f>
        <v>0</v>
      </c>
      <c r="BJ51" s="32">
        <f t="shared" si="89"/>
        <v>0</v>
      </c>
      <c r="BK51" s="34" t="str">
        <f>IFERROR(BJ51/BH51,"")</f>
        <v/>
      </c>
      <c r="BM51" s="216">
        <f>SUM(BM33,BM47,BM49:BM50)</f>
        <v>0</v>
      </c>
      <c r="BN51" s="41">
        <f>SUM(BN33+BN47,BN49:BN50)</f>
        <v>0</v>
      </c>
      <c r="BO51" s="32">
        <f t="shared" ref="BO51" si="160">BM51-BN51</f>
        <v>0</v>
      </c>
      <c r="BP51" s="34" t="str">
        <f>IFERROR(BO51/BM51,"")</f>
        <v/>
      </c>
    </row>
    <row r="52" spans="2:70" s="44" customFormat="1" x14ac:dyDescent="0.25">
      <c r="B52">
        <f>+MAX($B$1:B51)+1</f>
        <v>65</v>
      </c>
      <c r="C52" s="75" t="s">
        <v>199</v>
      </c>
      <c r="D52" s="73"/>
      <c r="E52" s="23">
        <f>+_xlfn.XLOOKUP($B52,Expenses_FY25B!$B:$B,Expenses_FY25B!S:S)/1000</f>
        <v>0</v>
      </c>
      <c r="F52" s="25"/>
      <c r="G52" s="105"/>
      <c r="H52" s="101"/>
      <c r="I52" s="5"/>
      <c r="J52" s="23">
        <f>+_xlfn.XLOOKUP($B52,Expenses_FY25B!$B:$B,Expenses_FY25B!T:T)/1000</f>
        <v>0</v>
      </c>
      <c r="K52" s="25"/>
      <c r="L52" s="8">
        <f t="shared" si="79"/>
        <v>0</v>
      </c>
      <c r="M52" s="33" t="str">
        <f t="shared" si="142"/>
        <v>n.a.</v>
      </c>
      <c r="N52" s="5"/>
      <c r="O52" s="23">
        <f>+_xlfn.XLOOKUP($B52,Expenses_FY25B!$B:$B,Expenses_FY25B!U:U)/1000</f>
        <v>0</v>
      </c>
      <c r="P52" s="25"/>
      <c r="Q52" s="8">
        <f t="shared" ref="Q52" si="161">O52-P52</f>
        <v>0</v>
      </c>
      <c r="R52" s="33" t="str">
        <f t="shared" ref="R52" si="162">IFERROR(Q52/O52,"n.a.")</f>
        <v>n.a.</v>
      </c>
      <c r="S52" s="5"/>
      <c r="T52" s="23">
        <f>+_xlfn.XLOOKUP($B52,Expenses_FY25B!$B:$B,Expenses_FY25B!V:V)/1000</f>
        <v>0</v>
      </c>
      <c r="U52" s="25"/>
      <c r="V52" s="8">
        <f t="shared" ref="V52" si="163">T52-U52</f>
        <v>0</v>
      </c>
      <c r="W52" s="33" t="str">
        <f t="shared" ref="W52" si="164">IFERROR(V52/T52,"n.a.")</f>
        <v>n.a.</v>
      </c>
      <c r="X52" s="5"/>
      <c r="Y52" s="23">
        <f>+_xlfn.XLOOKUP($B52,Expenses_FY25B!$B:$B,Expenses_FY25B!W:W)/1000</f>
        <v>0</v>
      </c>
      <c r="Z52" s="25"/>
      <c r="AA52" s="8">
        <f t="shared" ref="AA52" si="165">Y52-Z52</f>
        <v>0</v>
      </c>
      <c r="AB52" s="33" t="str">
        <f t="shared" ref="AB52" si="166">IFERROR(AA52/Y52,"n.a.")</f>
        <v>n.a.</v>
      </c>
      <c r="AC52" s="5"/>
      <c r="AD52" s="23">
        <f>+_xlfn.XLOOKUP($B52,Expenses_FY25B!$B:$B,Expenses_FY25B!X:X)/1000</f>
        <v>0</v>
      </c>
      <c r="AE52" s="25"/>
      <c r="AF52" s="8">
        <f t="shared" ref="AF52" si="167">AD52-AE52</f>
        <v>0</v>
      </c>
      <c r="AG52" s="33" t="str">
        <f t="shared" ref="AG52" si="168">IFERROR(AF52/AD52,"n.a.")</f>
        <v>n.a.</v>
      </c>
      <c r="AH52" s="5"/>
      <c r="AI52" s="23">
        <f>+_xlfn.XLOOKUP($B52,Expenses_FY25B!$B:$B,Expenses_FY25B!Y:Y)/1000</f>
        <v>0</v>
      </c>
      <c r="AJ52" s="25"/>
      <c r="AK52" s="8">
        <f t="shared" ref="AK52" si="169">AI52-AJ52</f>
        <v>0</v>
      </c>
      <c r="AL52" s="33" t="str">
        <f t="shared" ref="AL52" si="170">IFERROR(AK52/AI52,"n.a.")</f>
        <v>n.a.</v>
      </c>
      <c r="AM52" s="5"/>
      <c r="AN52" s="23">
        <f>+_xlfn.XLOOKUP($B52,Expenses_FY25B!$B:$B,Expenses_FY25B!Z:Z)/1000</f>
        <v>0</v>
      </c>
      <c r="AO52" s="25"/>
      <c r="AP52" s="8">
        <f t="shared" ref="AP52" si="171">AN52-AO52</f>
        <v>0</v>
      </c>
      <c r="AQ52" s="33" t="str">
        <f t="shared" ref="AQ52" si="172">IFERROR(AP52/AN52,"n.a.")</f>
        <v>n.a.</v>
      </c>
      <c r="AR52" s="5"/>
      <c r="AS52" s="23">
        <f>+_xlfn.XLOOKUP($B52,Expenses_FY25B!$B:$B,Expenses_FY25B!AA:AA)/1000</f>
        <v>0</v>
      </c>
      <c r="AT52" s="25"/>
      <c r="AU52" s="8">
        <f t="shared" ref="AU52" si="173">AS52-AT52</f>
        <v>0</v>
      </c>
      <c r="AV52" s="33" t="str">
        <f t="shared" ref="AV52" si="174">IFERROR(AU52/AS52,"n.a.")</f>
        <v>n.a.</v>
      </c>
      <c r="AW52" s="5"/>
      <c r="AX52" s="23">
        <f>+_xlfn.XLOOKUP($B52,Expenses_FY25B!$B:$B,Expenses_FY25B!AB:AB)/1000</f>
        <v>0</v>
      </c>
      <c r="AY52" s="25"/>
      <c r="AZ52" s="8">
        <f t="shared" ref="AZ52" si="175">AX52-AY52</f>
        <v>0</v>
      </c>
      <c r="BA52" s="33" t="str">
        <f t="shared" ref="BA52" si="176">IFERROR(AZ52/AX52,"n.a.")</f>
        <v>n.a.</v>
      </c>
      <c r="BB52" s="5"/>
      <c r="BC52" s="23">
        <f>+_xlfn.XLOOKUP($B52,Expenses_FY25B!$B:$B,Expenses_FY25B!AC:AC)/1000</f>
        <v>0</v>
      </c>
      <c r="BD52" s="25"/>
      <c r="BE52" s="8">
        <f t="shared" ref="BE52" si="177">BC52-BD52</f>
        <v>0</v>
      </c>
      <c r="BF52" s="33" t="str">
        <f t="shared" ref="BF52" si="178">IFERROR(BE52/BC52,"n.a.")</f>
        <v>n.a.</v>
      </c>
      <c r="BG52" s="5"/>
      <c r="BH52" s="23">
        <f>+_xlfn.XLOOKUP($B52,Expenses_FY25B!$B:$B,Expenses_FY25B!AD:AD)/1000</f>
        <v>0</v>
      </c>
      <c r="BI52" s="25"/>
      <c r="BJ52" s="8">
        <f t="shared" ref="BJ52" si="179">BH52-BI52</f>
        <v>0</v>
      </c>
      <c r="BK52" s="33" t="str">
        <f t="shared" ref="BK52" si="180">IFERROR(BJ52/BH52,"n.a.")</f>
        <v>n.a.</v>
      </c>
      <c r="BL52" s="5"/>
      <c r="BM52" s="38">
        <f t="shared" si="158"/>
        <v>0</v>
      </c>
      <c r="BN52" s="38">
        <f t="shared" si="156"/>
        <v>0</v>
      </c>
      <c r="BO52" s="8">
        <f t="shared" si="92"/>
        <v>0</v>
      </c>
      <c r="BP52" s="33" t="str">
        <f t="shared" si="157"/>
        <v>n.a.</v>
      </c>
    </row>
    <row r="53" spans="2:70" s="44" customFormat="1" ht="15.75" thickBot="1" x14ac:dyDescent="0.3">
      <c r="C53" s="75" t="s">
        <v>200</v>
      </c>
      <c r="D53" s="73"/>
      <c r="E53" s="238">
        <f>SUM(E51:E52)</f>
        <v>0</v>
      </c>
      <c r="F53" s="30">
        <f>SUM(F51:F52)</f>
        <v>0</v>
      </c>
      <c r="G53" s="30">
        <f t="shared" ref="G53" si="181">E53-F53</f>
        <v>0</v>
      </c>
      <c r="H53" s="37" t="str">
        <f>IFERROR(G53/E53,"")</f>
        <v/>
      </c>
      <c r="I53" s="5"/>
      <c r="J53" s="30">
        <f>SUM(J35,J49,J51:J52)</f>
        <v>0</v>
      </c>
      <c r="K53" s="30">
        <f>SUM(K51:K52)</f>
        <v>0</v>
      </c>
      <c r="L53" s="30">
        <f t="shared" ref="L53" si="182">J53-K53</f>
        <v>0</v>
      </c>
      <c r="M53" s="37" t="str">
        <f>IFERROR(L53/J53,"")</f>
        <v/>
      </c>
      <c r="N53" s="5"/>
      <c r="O53" s="30">
        <f>SUM(O35,O49,O51:O52)</f>
        <v>0</v>
      </c>
      <c r="P53" s="30">
        <f>SUM(P51:P52)</f>
        <v>0</v>
      </c>
      <c r="Q53" s="30">
        <f t="shared" ref="Q53" si="183">O53-P53</f>
        <v>0</v>
      </c>
      <c r="R53" s="37" t="str">
        <f>IFERROR(Q53/O53,"")</f>
        <v/>
      </c>
      <c r="S53" s="5"/>
      <c r="T53" s="30">
        <f>SUM(T51:T52)</f>
        <v>0</v>
      </c>
      <c r="U53" s="30">
        <f>SUM(U51:U52)</f>
        <v>0</v>
      </c>
      <c r="V53" s="30">
        <f t="shared" ref="V53" si="184">T53-U53</f>
        <v>0</v>
      </c>
      <c r="W53" s="37" t="str">
        <f>IFERROR(V53/T53,"")</f>
        <v/>
      </c>
      <c r="X53" s="5"/>
      <c r="Y53" s="30">
        <f>SUM(Y51:Y52)</f>
        <v>0</v>
      </c>
      <c r="Z53" s="30">
        <f>SUM(Z51:Z52)</f>
        <v>0</v>
      </c>
      <c r="AA53" s="30">
        <f t="shared" ref="AA53" si="185">Y53-Z53</f>
        <v>0</v>
      </c>
      <c r="AB53" s="37" t="str">
        <f>IFERROR(AA53/Y53,"")</f>
        <v/>
      </c>
      <c r="AC53" s="5"/>
      <c r="AD53" s="30">
        <f>SUM(AD51:AD52)</f>
        <v>0</v>
      </c>
      <c r="AE53" s="30">
        <f>SUM(AE51:AE52)</f>
        <v>0</v>
      </c>
      <c r="AF53" s="30">
        <f t="shared" ref="AF53" si="186">AD53-AE53</f>
        <v>0</v>
      </c>
      <c r="AG53" s="37" t="str">
        <f>IFERROR(AF53/AD53,"")</f>
        <v/>
      </c>
      <c r="AH53" s="5"/>
      <c r="AI53" s="30">
        <f>SUM(AI51:AI52)</f>
        <v>0</v>
      </c>
      <c r="AJ53" s="30">
        <f>SUM(AJ51:AJ52)</f>
        <v>0</v>
      </c>
      <c r="AK53" s="30">
        <f t="shared" ref="AK53" si="187">AI53-AJ53</f>
        <v>0</v>
      </c>
      <c r="AL53" s="37" t="str">
        <f>IFERROR(AK53/AI53,"")</f>
        <v/>
      </c>
      <c r="AM53" s="5"/>
      <c r="AN53" s="30">
        <f>SUM(AN51:AN52)</f>
        <v>0</v>
      </c>
      <c r="AO53" s="30">
        <f>SUM(AO51:AO52)</f>
        <v>0</v>
      </c>
      <c r="AP53" s="30">
        <f t="shared" ref="AP53" si="188">AN53-AO53</f>
        <v>0</v>
      </c>
      <c r="AQ53" s="37" t="str">
        <f>IFERROR(AP53/AN53,"")</f>
        <v/>
      </c>
      <c r="AR53" s="5"/>
      <c r="AS53" s="30">
        <f>SUM(AS51:AS52)</f>
        <v>0</v>
      </c>
      <c r="AT53" s="30">
        <f>SUM(AT51:AT52)</f>
        <v>0</v>
      </c>
      <c r="AU53" s="30">
        <f t="shared" ref="AU53" si="189">AS53-AT53</f>
        <v>0</v>
      </c>
      <c r="AV53" s="37" t="str">
        <f>IFERROR(AU53/AS53,"")</f>
        <v/>
      </c>
      <c r="AW53" s="5"/>
      <c r="AX53" s="30">
        <f>SUM(AX51:AX52)</f>
        <v>0</v>
      </c>
      <c r="AY53" s="30">
        <f>SUM(AY51:AY52)</f>
        <v>0</v>
      </c>
      <c r="AZ53" s="30">
        <f t="shared" ref="AZ53" si="190">AX53-AY53</f>
        <v>0</v>
      </c>
      <c r="BA53" s="37" t="str">
        <f>IFERROR(AZ53/AX53,"")</f>
        <v/>
      </c>
      <c r="BB53" s="5"/>
      <c r="BC53" s="30">
        <f>SUM(BC51:BC52)</f>
        <v>0</v>
      </c>
      <c r="BD53" s="30">
        <f>SUM(BD51:BD52)</f>
        <v>0</v>
      </c>
      <c r="BE53" s="30">
        <f t="shared" ref="BE53" si="191">BC53-BD53</f>
        <v>0</v>
      </c>
      <c r="BF53" s="37" t="str">
        <f>IFERROR(BE53/BC53,"")</f>
        <v/>
      </c>
      <c r="BG53" s="5"/>
      <c r="BH53" s="30">
        <f>SUM(BH51:BH52)</f>
        <v>0</v>
      </c>
      <c r="BI53" s="30">
        <f>SUM(BI51:BI52)</f>
        <v>0</v>
      </c>
      <c r="BJ53" s="30">
        <f t="shared" ref="BJ53" si="192">BH53-BI53</f>
        <v>0</v>
      </c>
      <c r="BK53" s="37" t="str">
        <f>IFERROR(BJ53/BH53,"")</f>
        <v/>
      </c>
      <c r="BL53" s="5"/>
      <c r="BM53" s="238">
        <f>SUM(BM51:BM52)</f>
        <v>0</v>
      </c>
      <c r="BN53" s="40">
        <f>SUM(BN51:BN52)</f>
        <v>0</v>
      </c>
      <c r="BO53" s="30">
        <f t="shared" ref="BO53" si="193">BM53-BN53</f>
        <v>0</v>
      </c>
      <c r="BP53" s="37" t="str">
        <f>IFERROR(BO53/BM53,"")</f>
        <v/>
      </c>
    </row>
    <row r="54" spans="2:70" s="44" customFormat="1" ht="15.75" thickTop="1" x14ac:dyDescent="0.25">
      <c r="C54" s="75"/>
      <c r="D54" s="73"/>
      <c r="E54" s="239"/>
      <c r="F54" s="105"/>
      <c r="G54" s="105"/>
      <c r="H54" s="101"/>
      <c r="I54" s="5"/>
      <c r="J54" s="105"/>
      <c r="K54" s="105"/>
      <c r="L54" s="105"/>
      <c r="M54" s="101"/>
      <c r="N54" s="5"/>
      <c r="O54" s="105"/>
      <c r="P54" s="105"/>
      <c r="Q54" s="105"/>
      <c r="R54" s="101"/>
      <c r="S54" s="5"/>
      <c r="T54" s="105"/>
      <c r="U54" s="105"/>
      <c r="V54" s="105"/>
      <c r="W54" s="101"/>
      <c r="X54" s="5"/>
      <c r="Y54" s="105"/>
      <c r="Z54" s="105"/>
      <c r="AA54" s="105"/>
      <c r="AB54" s="101"/>
      <c r="AC54" s="5"/>
      <c r="AD54" s="105"/>
      <c r="AE54" s="105"/>
      <c r="AF54" s="105"/>
      <c r="AG54" s="101"/>
      <c r="AH54" s="5"/>
      <c r="AI54" s="105"/>
      <c r="AJ54" s="105"/>
      <c r="AK54" s="105"/>
      <c r="AL54" s="101"/>
      <c r="AM54" s="5"/>
      <c r="AN54" s="105"/>
      <c r="AO54" s="105"/>
      <c r="AP54" s="105"/>
      <c r="AQ54" s="101"/>
      <c r="AR54" s="5"/>
      <c r="AS54" s="105"/>
      <c r="AT54" s="105"/>
      <c r="AU54" s="105"/>
      <c r="AV54" s="101"/>
      <c r="AW54" s="5"/>
      <c r="AX54" s="105"/>
      <c r="AY54" s="105"/>
      <c r="AZ54" s="105"/>
      <c r="BA54" s="101"/>
      <c r="BB54" s="5"/>
      <c r="BC54" s="105"/>
      <c r="BD54" s="105"/>
      <c r="BE54" s="105"/>
      <c r="BF54" s="101"/>
      <c r="BG54" s="5"/>
      <c r="BH54" s="105"/>
      <c r="BI54" s="105"/>
      <c r="BJ54" s="105"/>
      <c r="BK54" s="101"/>
      <c r="BL54" s="5"/>
      <c r="BM54" s="239"/>
      <c r="BN54" s="228"/>
      <c r="BO54" s="105"/>
      <c r="BP54" s="101"/>
    </row>
    <row r="55" spans="2:70" s="44" customFormat="1" x14ac:dyDescent="0.25">
      <c r="B55" s="70" t="s">
        <v>106</v>
      </c>
      <c r="C55" s="97" t="s">
        <v>107</v>
      </c>
      <c r="D55" s="71"/>
      <c r="E55"/>
      <c r="F55"/>
      <c r="G55"/>
      <c r="H55"/>
      <c r="J55"/>
      <c r="K55"/>
      <c r="L55"/>
      <c r="M55"/>
      <c r="O55"/>
      <c r="P55"/>
      <c r="Q55"/>
      <c r="R55"/>
      <c r="T55"/>
      <c r="U55"/>
      <c r="V55"/>
      <c r="W55"/>
      <c r="Y55"/>
      <c r="Z55"/>
      <c r="AA55"/>
      <c r="AB55"/>
      <c r="AD55"/>
      <c r="AE55"/>
      <c r="AF55"/>
      <c r="AG55"/>
      <c r="AI55"/>
      <c r="AJ55"/>
      <c r="AK55"/>
      <c r="AL55"/>
      <c r="AN55"/>
      <c r="AO55"/>
      <c r="AP55"/>
      <c r="AQ55"/>
      <c r="AS55"/>
      <c r="AT55"/>
      <c r="AU55"/>
      <c r="AV55"/>
      <c r="AX55"/>
      <c r="AY55"/>
      <c r="AZ55"/>
      <c r="BA55"/>
      <c r="BC55"/>
      <c r="BD55"/>
      <c r="BE55"/>
      <c r="BF55"/>
      <c r="BH55"/>
      <c r="BI55"/>
      <c r="BJ55"/>
      <c r="BK55"/>
      <c r="BM55" s="100"/>
      <c r="BN55"/>
      <c r="BO55"/>
      <c r="BP55"/>
    </row>
    <row r="56" spans="2:70" s="44" customFormat="1" x14ac:dyDescent="0.25">
      <c r="B56">
        <f>+MAX($B$1:B55)+1</f>
        <v>66</v>
      </c>
      <c r="C56" s="15" t="s">
        <v>86</v>
      </c>
      <c r="D56" s="71">
        <v>208.00945022101678</v>
      </c>
      <c r="E56" s="23">
        <f>+_xlfn.XLOOKUP($B56,Expenses_FY25B!$B:$B,Expenses_FY25B!S:S)/1000</f>
        <v>0</v>
      </c>
      <c r="F56" s="25"/>
      <c r="G56" s="8">
        <f t="shared" ref="G56:G74" si="194">E56-F56</f>
        <v>0</v>
      </c>
      <c r="H56" s="33" t="str">
        <f t="shared" ref="H56:H68" si="195">IFERROR(G56/E56,"n.a.")</f>
        <v>n.a.</v>
      </c>
      <c r="J56" s="23">
        <f>+_xlfn.XLOOKUP($B56,Expenses_FY25B!$B:$B,Expenses_FY25B!T:T)/1000</f>
        <v>0</v>
      </c>
      <c r="K56" s="25"/>
      <c r="L56" s="8">
        <f t="shared" ref="L56:L74" si="196">J56-K56</f>
        <v>0</v>
      </c>
      <c r="M56" s="33" t="str">
        <f t="shared" ref="M56:M68" si="197">IFERROR(L56/J56,"n.a.")</f>
        <v>n.a.</v>
      </c>
      <c r="O56" s="23">
        <f>+_xlfn.XLOOKUP($B56,Expenses_FY25B!$B:$B,Expenses_FY25B!U:U)/1000</f>
        <v>0</v>
      </c>
      <c r="P56" s="25"/>
      <c r="Q56" s="8">
        <f t="shared" ref="Q56:Q74" si="198">O56-P56</f>
        <v>0</v>
      </c>
      <c r="R56" s="33" t="str">
        <f t="shared" ref="R56:R68" si="199">IFERROR(Q56/O56,"n.a.")</f>
        <v>n.a.</v>
      </c>
      <c r="T56" s="23">
        <f>+_xlfn.XLOOKUP($B56,Expenses_FY25B!$B:$B,Expenses_FY25B!V:V)/1000</f>
        <v>0</v>
      </c>
      <c r="U56" s="25"/>
      <c r="V56" s="8">
        <f t="shared" ref="V56:V74" si="200">T56-U56</f>
        <v>0</v>
      </c>
      <c r="W56" s="33" t="str">
        <f t="shared" ref="W56:W68" si="201">IFERROR(V56/T56,"n.a.")</f>
        <v>n.a.</v>
      </c>
      <c r="Y56" s="23">
        <f>+_xlfn.XLOOKUP($B56,Expenses_FY25B!$B:$B,Expenses_FY25B!W:W)/1000</f>
        <v>0</v>
      </c>
      <c r="Z56" s="25"/>
      <c r="AA56" s="8">
        <f t="shared" ref="AA56:AA74" si="202">Y56-Z56</f>
        <v>0</v>
      </c>
      <c r="AB56" s="33" t="str">
        <f t="shared" ref="AB56:AB68" si="203">IFERROR(AA56/Y56,"n.a.")</f>
        <v>n.a.</v>
      </c>
      <c r="AD56" s="23">
        <f>+_xlfn.XLOOKUP($B56,Expenses_FY25B!$B:$B,Expenses_FY25B!X:X)/1000</f>
        <v>0</v>
      </c>
      <c r="AE56" s="25"/>
      <c r="AF56" s="8">
        <f t="shared" ref="AF56:AF74" si="204">AD56-AE56</f>
        <v>0</v>
      </c>
      <c r="AG56" s="33" t="str">
        <f t="shared" ref="AG56:AG68" si="205">IFERROR(AF56/AD56,"n.a.")</f>
        <v>n.a.</v>
      </c>
      <c r="AI56" s="23">
        <f>+_xlfn.XLOOKUP($B56,Expenses_FY25B!$B:$B,Expenses_FY25B!Y:Y)/1000</f>
        <v>0</v>
      </c>
      <c r="AJ56" s="25"/>
      <c r="AK56" s="8">
        <f t="shared" ref="AK56:AK74" si="206">AI56-AJ56</f>
        <v>0</v>
      </c>
      <c r="AL56" s="33" t="str">
        <f t="shared" ref="AL56:AL68" si="207">IFERROR(AK56/AI56,"n.a.")</f>
        <v>n.a.</v>
      </c>
      <c r="AN56" s="23">
        <f>+_xlfn.XLOOKUP($B56,Expenses_FY25B!$B:$B,Expenses_FY25B!Z:Z)/1000</f>
        <v>0</v>
      </c>
      <c r="AO56" s="25"/>
      <c r="AP56" s="8">
        <f t="shared" ref="AP56:AP74" si="208">AN56-AO56</f>
        <v>0</v>
      </c>
      <c r="AQ56" s="33" t="str">
        <f t="shared" ref="AQ56:AQ68" si="209">IFERROR(AP56/AN56,"n.a.")</f>
        <v>n.a.</v>
      </c>
      <c r="AS56" s="23">
        <f>+_xlfn.XLOOKUP($B56,Expenses_FY25B!$B:$B,Expenses_FY25B!AA:AA)/1000</f>
        <v>0</v>
      </c>
      <c r="AT56" s="25"/>
      <c r="AU56" s="8">
        <f t="shared" ref="AU56:AU74" si="210">AS56-AT56</f>
        <v>0</v>
      </c>
      <c r="AV56" s="33" t="str">
        <f t="shared" ref="AV56:AV68" si="211">IFERROR(AU56/AS56,"n.a.")</f>
        <v>n.a.</v>
      </c>
      <c r="AX56" s="23">
        <f>+_xlfn.XLOOKUP($B56,Expenses_FY25B!$B:$B,Expenses_FY25B!AB:AB)/1000</f>
        <v>0</v>
      </c>
      <c r="AY56" s="25"/>
      <c r="AZ56" s="8">
        <f t="shared" ref="AZ56:AZ74" si="212">AX56-AY56</f>
        <v>0</v>
      </c>
      <c r="BA56" s="33" t="str">
        <f t="shared" ref="BA56:BA68" si="213">IFERROR(AZ56/AX56,"n.a.")</f>
        <v>n.a.</v>
      </c>
      <c r="BC56" s="23">
        <f>+_xlfn.XLOOKUP($B56,Expenses_FY25B!$B:$B,Expenses_FY25B!AC:AC)/1000</f>
        <v>0</v>
      </c>
      <c r="BD56" s="25"/>
      <c r="BE56" s="8">
        <f t="shared" ref="BE56:BE74" si="214">BC56-BD56</f>
        <v>0</v>
      </c>
      <c r="BF56" s="33" t="str">
        <f t="shared" ref="BF56:BF68" si="215">IFERROR(BE56/BC56,"n.a.")</f>
        <v>n.a.</v>
      </c>
      <c r="BH56" s="23">
        <f>+_xlfn.XLOOKUP($B56,Expenses_FY25B!$B:$B,Expenses_FY25B!AD:AD)/1000</f>
        <v>0</v>
      </c>
      <c r="BI56" s="25"/>
      <c r="BJ56" s="8">
        <f t="shared" ref="BJ56:BJ74" si="216">BH56-BI56</f>
        <v>0</v>
      </c>
      <c r="BK56" s="33" t="str">
        <f t="shared" ref="BK56:BK68" si="217">IFERROR(BJ56/BH56,"n.a.")</f>
        <v>n.a.</v>
      </c>
      <c r="BM56" s="38">
        <f t="shared" ref="BM56:BM68" si="218">+E56+J56+O56+T56+Y56+AD56+AI56+AN56+AS56+AX56+BC56+BH56</f>
        <v>0</v>
      </c>
      <c r="BN56" s="38">
        <f t="shared" ref="BN56:BN68" si="219">+F56+K56+P56+U56+Z56+AE56+AJ56+AO56+AT56+AY56+BD56+BI56</f>
        <v>0</v>
      </c>
      <c r="BO56" s="8">
        <f t="shared" ref="BO56:BO74" si="220">BM56-BN56</f>
        <v>0</v>
      </c>
      <c r="BP56" s="33" t="str">
        <f t="shared" ref="BP56:BP68" si="221">IFERROR(BO56/BM56,"n.a.")</f>
        <v>n.a.</v>
      </c>
    </row>
    <row r="57" spans="2:70" s="44" customFormat="1" x14ac:dyDescent="0.25">
      <c r="B57">
        <f>+MAX($B$1:B56)+1</f>
        <v>67</v>
      </c>
      <c r="C57" s="15" t="s">
        <v>87</v>
      </c>
      <c r="D57" s="71">
        <v>311.70140996048769</v>
      </c>
      <c r="E57" s="23">
        <f>+_xlfn.XLOOKUP($B57,Expenses_FY25B!$B:$B,Expenses_FY25B!S:S)/1000</f>
        <v>0</v>
      </c>
      <c r="F57" s="25"/>
      <c r="G57" s="8">
        <f t="shared" si="194"/>
        <v>0</v>
      </c>
      <c r="H57" s="33" t="str">
        <f t="shared" si="195"/>
        <v>n.a.</v>
      </c>
      <c r="J57" s="23">
        <f>+_xlfn.XLOOKUP($B57,Expenses_FY25B!$B:$B,Expenses_FY25B!T:T)/1000</f>
        <v>0</v>
      </c>
      <c r="K57" s="25"/>
      <c r="L57" s="8">
        <f t="shared" si="196"/>
        <v>0</v>
      </c>
      <c r="M57" s="33" t="str">
        <f t="shared" si="197"/>
        <v>n.a.</v>
      </c>
      <c r="O57" s="23">
        <f>+_xlfn.XLOOKUP($B57,Expenses_FY25B!$B:$B,Expenses_FY25B!U:U)/1000</f>
        <v>0</v>
      </c>
      <c r="P57" s="25"/>
      <c r="Q57" s="8">
        <f t="shared" si="198"/>
        <v>0</v>
      </c>
      <c r="R57" s="33" t="str">
        <f t="shared" si="199"/>
        <v>n.a.</v>
      </c>
      <c r="T57" s="23">
        <f>+_xlfn.XLOOKUP($B57,Expenses_FY25B!$B:$B,Expenses_FY25B!V:V)/1000</f>
        <v>0</v>
      </c>
      <c r="U57" s="25"/>
      <c r="V57" s="8">
        <f t="shared" si="200"/>
        <v>0</v>
      </c>
      <c r="W57" s="33" t="str">
        <f t="shared" si="201"/>
        <v>n.a.</v>
      </c>
      <c r="Y57" s="23">
        <f>+_xlfn.XLOOKUP($B57,Expenses_FY25B!$B:$B,Expenses_FY25B!W:W)/1000</f>
        <v>0</v>
      </c>
      <c r="Z57" s="25"/>
      <c r="AA57" s="8">
        <f t="shared" si="202"/>
        <v>0</v>
      </c>
      <c r="AB57" s="33" t="str">
        <f t="shared" si="203"/>
        <v>n.a.</v>
      </c>
      <c r="AD57" s="23">
        <f>+_xlfn.XLOOKUP($B57,Expenses_FY25B!$B:$B,Expenses_FY25B!X:X)/1000</f>
        <v>0</v>
      </c>
      <c r="AE57" s="25"/>
      <c r="AF57" s="8">
        <f t="shared" si="204"/>
        <v>0</v>
      </c>
      <c r="AG57" s="33" t="str">
        <f t="shared" si="205"/>
        <v>n.a.</v>
      </c>
      <c r="AI57" s="23">
        <f>+_xlfn.XLOOKUP($B57,Expenses_FY25B!$B:$B,Expenses_FY25B!Y:Y)/1000</f>
        <v>0</v>
      </c>
      <c r="AJ57" s="25"/>
      <c r="AK57" s="8">
        <f t="shared" si="206"/>
        <v>0</v>
      </c>
      <c r="AL57" s="33" t="str">
        <f t="shared" si="207"/>
        <v>n.a.</v>
      </c>
      <c r="AN57" s="23">
        <f>+_xlfn.XLOOKUP($B57,Expenses_FY25B!$B:$B,Expenses_FY25B!Z:Z)/1000</f>
        <v>0</v>
      </c>
      <c r="AO57" s="25"/>
      <c r="AP57" s="8">
        <f t="shared" si="208"/>
        <v>0</v>
      </c>
      <c r="AQ57" s="33" t="str">
        <f t="shared" si="209"/>
        <v>n.a.</v>
      </c>
      <c r="AS57" s="23">
        <f>+_xlfn.XLOOKUP($B57,Expenses_FY25B!$B:$B,Expenses_FY25B!AA:AA)/1000</f>
        <v>0</v>
      </c>
      <c r="AT57" s="25"/>
      <c r="AU57" s="8">
        <f t="shared" si="210"/>
        <v>0</v>
      </c>
      <c r="AV57" s="33" t="str">
        <f t="shared" si="211"/>
        <v>n.a.</v>
      </c>
      <c r="AX57" s="23">
        <f>+_xlfn.XLOOKUP($B57,Expenses_FY25B!$B:$B,Expenses_FY25B!AB:AB)/1000</f>
        <v>0</v>
      </c>
      <c r="AY57" s="25"/>
      <c r="AZ57" s="8">
        <f t="shared" si="212"/>
        <v>0</v>
      </c>
      <c r="BA57" s="33" t="str">
        <f t="shared" si="213"/>
        <v>n.a.</v>
      </c>
      <c r="BC57" s="23">
        <f>+_xlfn.XLOOKUP($B57,Expenses_FY25B!$B:$B,Expenses_FY25B!AC:AC)/1000</f>
        <v>0</v>
      </c>
      <c r="BD57" s="25"/>
      <c r="BE57" s="8">
        <f t="shared" si="214"/>
        <v>0</v>
      </c>
      <c r="BF57" s="33" t="str">
        <f t="shared" si="215"/>
        <v>n.a.</v>
      </c>
      <c r="BH57" s="23">
        <f>+_xlfn.XLOOKUP($B57,Expenses_FY25B!$B:$B,Expenses_FY25B!AD:AD)/1000</f>
        <v>0</v>
      </c>
      <c r="BI57" s="25"/>
      <c r="BJ57" s="8">
        <f t="shared" si="216"/>
        <v>0</v>
      </c>
      <c r="BK57" s="33" t="str">
        <f t="shared" si="217"/>
        <v>n.a.</v>
      </c>
      <c r="BM57" s="38">
        <f t="shared" si="218"/>
        <v>0</v>
      </c>
      <c r="BN57" s="38">
        <f t="shared" si="219"/>
        <v>0</v>
      </c>
      <c r="BO57" s="8">
        <f t="shared" si="220"/>
        <v>0</v>
      </c>
      <c r="BP57" s="33" t="str">
        <f t="shared" si="221"/>
        <v>n.a.</v>
      </c>
    </row>
    <row r="58" spans="2:70" s="44" customFormat="1" x14ac:dyDescent="0.25">
      <c r="B58">
        <f>+MAX($B$1:B57)+1</f>
        <v>68</v>
      </c>
      <c r="C58" s="15" t="s">
        <v>88</v>
      </c>
      <c r="D58" s="71">
        <v>11800</v>
      </c>
      <c r="E58" s="23">
        <f>+_xlfn.XLOOKUP($B58,Expenses_FY25B!$B:$B,Expenses_FY25B!S:S)/1000</f>
        <v>0</v>
      </c>
      <c r="F58" s="25"/>
      <c r="G58" s="8">
        <f t="shared" si="194"/>
        <v>0</v>
      </c>
      <c r="H58" s="33" t="str">
        <f t="shared" si="195"/>
        <v>n.a.</v>
      </c>
      <c r="J58" s="23">
        <f>+_xlfn.XLOOKUP($B58,Expenses_FY25B!$B:$B,Expenses_FY25B!T:T)/1000</f>
        <v>0</v>
      </c>
      <c r="K58" s="25"/>
      <c r="L58" s="8">
        <f t="shared" si="196"/>
        <v>0</v>
      </c>
      <c r="M58" s="33" t="str">
        <f t="shared" si="197"/>
        <v>n.a.</v>
      </c>
      <c r="O58" s="23">
        <f>+_xlfn.XLOOKUP($B58,Expenses_FY25B!$B:$B,Expenses_FY25B!U:U)/1000</f>
        <v>0</v>
      </c>
      <c r="P58" s="25"/>
      <c r="Q58" s="8">
        <f t="shared" si="198"/>
        <v>0</v>
      </c>
      <c r="R58" s="33" t="str">
        <f t="shared" si="199"/>
        <v>n.a.</v>
      </c>
      <c r="T58" s="23">
        <f>+_xlfn.XLOOKUP($B58,Expenses_FY25B!$B:$B,Expenses_FY25B!V:V)/1000</f>
        <v>0</v>
      </c>
      <c r="U58" s="25"/>
      <c r="V58" s="8">
        <f t="shared" si="200"/>
        <v>0</v>
      </c>
      <c r="W58" s="33" t="str">
        <f t="shared" si="201"/>
        <v>n.a.</v>
      </c>
      <c r="Y58" s="23">
        <f>+_xlfn.XLOOKUP($B58,Expenses_FY25B!$B:$B,Expenses_FY25B!W:W)/1000</f>
        <v>0</v>
      </c>
      <c r="Z58" s="25"/>
      <c r="AA58" s="8">
        <f t="shared" si="202"/>
        <v>0</v>
      </c>
      <c r="AB58" s="33" t="str">
        <f t="shared" si="203"/>
        <v>n.a.</v>
      </c>
      <c r="AD58" s="23">
        <f>+_xlfn.XLOOKUP($B58,Expenses_FY25B!$B:$B,Expenses_FY25B!X:X)/1000</f>
        <v>0</v>
      </c>
      <c r="AE58" s="25"/>
      <c r="AF58" s="8">
        <f t="shared" si="204"/>
        <v>0</v>
      </c>
      <c r="AG58" s="33" t="str">
        <f t="shared" si="205"/>
        <v>n.a.</v>
      </c>
      <c r="AI58" s="23">
        <f>+_xlfn.XLOOKUP($B58,Expenses_FY25B!$B:$B,Expenses_FY25B!Y:Y)/1000</f>
        <v>0</v>
      </c>
      <c r="AJ58" s="25"/>
      <c r="AK58" s="8">
        <f t="shared" si="206"/>
        <v>0</v>
      </c>
      <c r="AL58" s="33" t="str">
        <f t="shared" si="207"/>
        <v>n.a.</v>
      </c>
      <c r="AN58" s="23">
        <f>+_xlfn.XLOOKUP($B58,Expenses_FY25B!$B:$B,Expenses_FY25B!Z:Z)/1000</f>
        <v>0</v>
      </c>
      <c r="AO58" s="25"/>
      <c r="AP58" s="8">
        <f t="shared" si="208"/>
        <v>0</v>
      </c>
      <c r="AQ58" s="33" t="str">
        <f t="shared" si="209"/>
        <v>n.a.</v>
      </c>
      <c r="AS58" s="23">
        <f>+_xlfn.XLOOKUP($B58,Expenses_FY25B!$B:$B,Expenses_FY25B!AA:AA)/1000</f>
        <v>0</v>
      </c>
      <c r="AT58" s="25"/>
      <c r="AU58" s="8">
        <f t="shared" si="210"/>
        <v>0</v>
      </c>
      <c r="AV58" s="33" t="str">
        <f t="shared" si="211"/>
        <v>n.a.</v>
      </c>
      <c r="AX58" s="23">
        <f>+_xlfn.XLOOKUP($B58,Expenses_FY25B!$B:$B,Expenses_FY25B!AB:AB)/1000</f>
        <v>0</v>
      </c>
      <c r="AY58" s="25"/>
      <c r="AZ58" s="8">
        <f t="shared" si="212"/>
        <v>0</v>
      </c>
      <c r="BA58" s="33" t="str">
        <f t="shared" si="213"/>
        <v>n.a.</v>
      </c>
      <c r="BC58" s="23">
        <f>+_xlfn.XLOOKUP($B58,Expenses_FY25B!$B:$B,Expenses_FY25B!AC:AC)/1000</f>
        <v>0</v>
      </c>
      <c r="BD58" s="25"/>
      <c r="BE58" s="8">
        <f t="shared" si="214"/>
        <v>0</v>
      </c>
      <c r="BF58" s="33" t="str">
        <f t="shared" si="215"/>
        <v>n.a.</v>
      </c>
      <c r="BH58" s="23">
        <f>+_xlfn.XLOOKUP($B58,Expenses_FY25B!$B:$B,Expenses_FY25B!AD:AD)/1000</f>
        <v>0</v>
      </c>
      <c r="BI58" s="25"/>
      <c r="BJ58" s="8">
        <f t="shared" si="216"/>
        <v>0</v>
      </c>
      <c r="BK58" s="33" t="str">
        <f t="shared" si="217"/>
        <v>n.a.</v>
      </c>
      <c r="BM58" s="38">
        <f t="shared" si="218"/>
        <v>0</v>
      </c>
      <c r="BN58" s="38">
        <f t="shared" si="219"/>
        <v>0</v>
      </c>
      <c r="BO58" s="8">
        <f t="shared" si="220"/>
        <v>0</v>
      </c>
      <c r="BP58" s="33" t="str">
        <f t="shared" si="221"/>
        <v>n.a.</v>
      </c>
    </row>
    <row r="59" spans="2:70" s="44" customFormat="1" x14ac:dyDescent="0.25">
      <c r="B59">
        <f>+MAX($B$1:B58)+1</f>
        <v>69</v>
      </c>
      <c r="C59" s="15" t="s">
        <v>89</v>
      </c>
      <c r="D59" s="71">
        <v>0.57027430428895642</v>
      </c>
      <c r="E59" s="23">
        <f>+_xlfn.XLOOKUP($B59,Expenses_FY25B!$B:$B,Expenses_FY25B!S:S)/1000</f>
        <v>0</v>
      </c>
      <c r="F59" s="25"/>
      <c r="G59" s="8">
        <f t="shared" si="194"/>
        <v>0</v>
      </c>
      <c r="H59" s="33" t="str">
        <f t="shared" si="195"/>
        <v>n.a.</v>
      </c>
      <c r="J59" s="23">
        <f>+_xlfn.XLOOKUP($B59,Expenses_FY25B!$B:$B,Expenses_FY25B!T:T)/1000</f>
        <v>0</v>
      </c>
      <c r="K59" s="25"/>
      <c r="L59" s="8">
        <f t="shared" si="196"/>
        <v>0</v>
      </c>
      <c r="M59" s="33" t="str">
        <f t="shared" si="197"/>
        <v>n.a.</v>
      </c>
      <c r="O59" s="23">
        <f>+_xlfn.XLOOKUP($B59,Expenses_FY25B!$B:$B,Expenses_FY25B!U:U)/1000</f>
        <v>0</v>
      </c>
      <c r="P59" s="25"/>
      <c r="Q59" s="8">
        <f t="shared" si="198"/>
        <v>0</v>
      </c>
      <c r="R59" s="33" t="str">
        <f t="shared" si="199"/>
        <v>n.a.</v>
      </c>
      <c r="T59" s="23">
        <f>+_xlfn.XLOOKUP($B59,Expenses_FY25B!$B:$B,Expenses_FY25B!V:V)/1000</f>
        <v>0</v>
      </c>
      <c r="U59" s="25"/>
      <c r="V59" s="8">
        <f t="shared" si="200"/>
        <v>0</v>
      </c>
      <c r="W59" s="33" t="str">
        <f t="shared" si="201"/>
        <v>n.a.</v>
      </c>
      <c r="Y59" s="23">
        <f>+_xlfn.XLOOKUP($B59,Expenses_FY25B!$B:$B,Expenses_FY25B!W:W)/1000</f>
        <v>0</v>
      </c>
      <c r="Z59" s="25"/>
      <c r="AA59" s="8">
        <f t="shared" si="202"/>
        <v>0</v>
      </c>
      <c r="AB59" s="33" t="str">
        <f t="shared" si="203"/>
        <v>n.a.</v>
      </c>
      <c r="AD59" s="23">
        <f>+_xlfn.XLOOKUP($B59,Expenses_FY25B!$B:$B,Expenses_FY25B!X:X)/1000</f>
        <v>0</v>
      </c>
      <c r="AE59" s="25"/>
      <c r="AF59" s="8">
        <f t="shared" si="204"/>
        <v>0</v>
      </c>
      <c r="AG59" s="33" t="str">
        <f t="shared" si="205"/>
        <v>n.a.</v>
      </c>
      <c r="AI59" s="23">
        <f>+_xlfn.XLOOKUP($B59,Expenses_FY25B!$B:$B,Expenses_FY25B!Y:Y)/1000</f>
        <v>0</v>
      </c>
      <c r="AJ59" s="25"/>
      <c r="AK59" s="8">
        <f t="shared" si="206"/>
        <v>0</v>
      </c>
      <c r="AL59" s="33" t="str">
        <f t="shared" si="207"/>
        <v>n.a.</v>
      </c>
      <c r="AN59" s="23">
        <f>+_xlfn.XLOOKUP($B59,Expenses_FY25B!$B:$B,Expenses_FY25B!Z:Z)/1000</f>
        <v>0</v>
      </c>
      <c r="AO59" s="25"/>
      <c r="AP59" s="8">
        <f t="shared" si="208"/>
        <v>0</v>
      </c>
      <c r="AQ59" s="33" t="str">
        <f t="shared" si="209"/>
        <v>n.a.</v>
      </c>
      <c r="AS59" s="23">
        <f>+_xlfn.XLOOKUP($B59,Expenses_FY25B!$B:$B,Expenses_FY25B!AA:AA)/1000</f>
        <v>0</v>
      </c>
      <c r="AT59" s="25"/>
      <c r="AU59" s="8">
        <f t="shared" si="210"/>
        <v>0</v>
      </c>
      <c r="AV59" s="33" t="str">
        <f t="shared" si="211"/>
        <v>n.a.</v>
      </c>
      <c r="AX59" s="23">
        <f>+_xlfn.XLOOKUP($B59,Expenses_FY25B!$B:$B,Expenses_FY25B!AB:AB)/1000</f>
        <v>0</v>
      </c>
      <c r="AY59" s="25"/>
      <c r="AZ59" s="8">
        <f t="shared" si="212"/>
        <v>0</v>
      </c>
      <c r="BA59" s="33" t="str">
        <f t="shared" si="213"/>
        <v>n.a.</v>
      </c>
      <c r="BC59" s="23">
        <f>+_xlfn.XLOOKUP($B59,Expenses_FY25B!$B:$B,Expenses_FY25B!AC:AC)/1000</f>
        <v>0</v>
      </c>
      <c r="BD59" s="25"/>
      <c r="BE59" s="8">
        <f t="shared" si="214"/>
        <v>0</v>
      </c>
      <c r="BF59" s="33" t="str">
        <f t="shared" si="215"/>
        <v>n.a.</v>
      </c>
      <c r="BH59" s="23">
        <f>+_xlfn.XLOOKUP($B59,Expenses_FY25B!$B:$B,Expenses_FY25B!AD:AD)/1000</f>
        <v>0</v>
      </c>
      <c r="BI59" s="25"/>
      <c r="BJ59" s="8">
        <f t="shared" si="216"/>
        <v>0</v>
      </c>
      <c r="BK59" s="33" t="str">
        <f t="shared" si="217"/>
        <v>n.a.</v>
      </c>
      <c r="BM59" s="38">
        <f t="shared" si="218"/>
        <v>0</v>
      </c>
      <c r="BN59" s="38">
        <f t="shared" si="219"/>
        <v>0</v>
      </c>
      <c r="BO59" s="8">
        <f t="shared" si="220"/>
        <v>0</v>
      </c>
      <c r="BP59" s="33" t="str">
        <f t="shared" si="221"/>
        <v>n.a.</v>
      </c>
    </row>
    <row r="60" spans="2:70" s="44" customFormat="1" x14ac:dyDescent="0.25">
      <c r="C60" s="97" t="s">
        <v>108</v>
      </c>
      <c r="D60" s="72">
        <v>86556.076569341662</v>
      </c>
      <c r="E60" s="32">
        <f>SUM(E56:E59)</f>
        <v>0</v>
      </c>
      <c r="F60" s="32">
        <f>SUM(F56:F59)</f>
        <v>0</v>
      </c>
      <c r="G60" s="32">
        <f>E60-F60</f>
        <v>0</v>
      </c>
      <c r="H60" s="34" t="str">
        <f>IFERROR(G60/E60,"")</f>
        <v/>
      </c>
      <c r="I60"/>
      <c r="J60" s="32">
        <f>SUM(J56:J59)</f>
        <v>0</v>
      </c>
      <c r="K60" s="32">
        <f>SUM(K56:K59)</f>
        <v>0</v>
      </c>
      <c r="L60" s="32">
        <f>J60-K60</f>
        <v>0</v>
      </c>
      <c r="M60" s="34" t="str">
        <f>IFERROR(L60/J60,"")</f>
        <v/>
      </c>
      <c r="O60" s="32">
        <f>SUM(O56:O59)</f>
        <v>0</v>
      </c>
      <c r="P60" s="32">
        <f>SUM(P56:P59)</f>
        <v>0</v>
      </c>
      <c r="Q60" s="32">
        <f>O60-P60</f>
        <v>0</v>
      </c>
      <c r="R60" s="34" t="str">
        <f>IFERROR(Q60/O60,"")</f>
        <v/>
      </c>
      <c r="T60" s="32">
        <f>SUM(T56:T59)</f>
        <v>0</v>
      </c>
      <c r="U60" s="32">
        <f>SUM(U56:U59)</f>
        <v>0</v>
      </c>
      <c r="V60" s="32">
        <f>T60-U60</f>
        <v>0</v>
      </c>
      <c r="W60" s="34" t="str">
        <f>IFERROR(V60/T60,"")</f>
        <v/>
      </c>
      <c r="Y60" s="32">
        <f>SUM(Y56:Y59)</f>
        <v>0</v>
      </c>
      <c r="Z60" s="32">
        <f>SUM(Z56:Z59)</f>
        <v>0</v>
      </c>
      <c r="AA60" s="32">
        <f>Y60-Z60</f>
        <v>0</v>
      </c>
      <c r="AB60" s="34" t="str">
        <f>IFERROR(AA60/Y60,"")</f>
        <v/>
      </c>
      <c r="AD60" s="32">
        <f>SUM(AD56:AD59)</f>
        <v>0</v>
      </c>
      <c r="AE60" s="32">
        <f>SUM(AE56:AE59)</f>
        <v>0</v>
      </c>
      <c r="AF60" s="32">
        <f>AD60-AE60</f>
        <v>0</v>
      </c>
      <c r="AG60" s="34" t="str">
        <f>IFERROR(AF60/AD60,"")</f>
        <v/>
      </c>
      <c r="AI60" s="32">
        <f>SUM(AI56:AI59)</f>
        <v>0</v>
      </c>
      <c r="AJ60" s="32">
        <f>SUM(AJ56:AJ59)</f>
        <v>0</v>
      </c>
      <c r="AK60" s="32">
        <f>AI60-AJ60</f>
        <v>0</v>
      </c>
      <c r="AL60" s="34" t="str">
        <f>IFERROR(AK60/AI60,"")</f>
        <v/>
      </c>
      <c r="AN60" s="32">
        <f>SUM(AN56:AN59)</f>
        <v>0</v>
      </c>
      <c r="AO60" s="32">
        <f>SUM(AO56:AO59)</f>
        <v>0</v>
      </c>
      <c r="AP60" s="32">
        <f>AN60-AO60</f>
        <v>0</v>
      </c>
      <c r="AQ60" s="34" t="str">
        <f>IFERROR(AP60/AN60,"")</f>
        <v/>
      </c>
      <c r="AS60" s="32">
        <f>SUM(AS56:AS59)</f>
        <v>0</v>
      </c>
      <c r="AT60" s="32">
        <f>SUM(AT56:AT59)</f>
        <v>0</v>
      </c>
      <c r="AU60" s="32">
        <f>AS60-AT60</f>
        <v>0</v>
      </c>
      <c r="AV60" s="34" t="str">
        <f>IFERROR(AU60/AS60,"")</f>
        <v/>
      </c>
      <c r="AX60" s="32">
        <f>SUM(AX56:AX59)</f>
        <v>0</v>
      </c>
      <c r="AY60" s="32">
        <f>SUM(AY56:AY59)</f>
        <v>0</v>
      </c>
      <c r="AZ60" s="32">
        <f>AX60-AY60</f>
        <v>0</v>
      </c>
      <c r="BA60" s="34" t="str">
        <f>IFERROR(AZ60/AX60,"")</f>
        <v/>
      </c>
      <c r="BC60" s="32">
        <f>SUM(BC56:BC59)</f>
        <v>0</v>
      </c>
      <c r="BD60" s="32">
        <f>SUM(BD56:BD59)</f>
        <v>0</v>
      </c>
      <c r="BE60" s="32">
        <f>BC60-BD60</f>
        <v>0</v>
      </c>
      <c r="BF60" s="34" t="str">
        <f>IFERROR(BE60/BC60,"")</f>
        <v/>
      </c>
      <c r="BH60" s="32">
        <f>SUM(BH56:BH59)</f>
        <v>0</v>
      </c>
      <c r="BI60" s="32">
        <f>SUM(BI56:BI59)</f>
        <v>0</v>
      </c>
      <c r="BJ60" s="32">
        <f>BH60-BI60</f>
        <v>0</v>
      </c>
      <c r="BK60" s="34" t="str">
        <f>IFERROR(BJ60/BH60,"")</f>
        <v/>
      </c>
      <c r="BM60" s="216">
        <f>SUM(BM56:BM59)</f>
        <v>0</v>
      </c>
      <c r="BN60" s="41">
        <f>SUM(BN47:BN59)</f>
        <v>0</v>
      </c>
      <c r="BO60" s="32">
        <f t="shared" ref="BO60" si="222">BM60-BN60</f>
        <v>0</v>
      </c>
      <c r="BP60" s="34" t="str">
        <f>IFERROR(BO60/BM60,"")</f>
        <v/>
      </c>
      <c r="BR60" s="193"/>
    </row>
    <row r="61" spans="2:70" s="44" customFormat="1" x14ac:dyDescent="0.25">
      <c r="C61" s="75"/>
      <c r="D61" s="71"/>
      <c r="E61"/>
      <c r="G61"/>
      <c r="H61"/>
      <c r="I61"/>
      <c r="J61"/>
      <c r="K61"/>
      <c r="L61"/>
      <c r="M61"/>
      <c r="O61"/>
      <c r="P61"/>
      <c r="Q61"/>
      <c r="R61"/>
      <c r="T61"/>
      <c r="U61"/>
      <c r="V61"/>
      <c r="W61"/>
      <c r="Y61"/>
      <c r="Z61"/>
      <c r="AA61"/>
      <c r="AB61"/>
      <c r="AD61"/>
      <c r="AE61"/>
      <c r="AF61"/>
      <c r="AG61"/>
      <c r="AI61"/>
      <c r="AJ61"/>
      <c r="AK61"/>
      <c r="AL61"/>
      <c r="AN61"/>
      <c r="AO61"/>
      <c r="AP61"/>
      <c r="AQ61"/>
      <c r="AS61"/>
      <c r="AT61"/>
      <c r="AU61"/>
      <c r="AV61"/>
      <c r="AX61"/>
      <c r="AY61"/>
      <c r="AZ61"/>
      <c r="BA61"/>
      <c r="BC61"/>
      <c r="BD61"/>
      <c r="BE61"/>
      <c r="BF61"/>
      <c r="BH61"/>
      <c r="BI61"/>
      <c r="BJ61"/>
      <c r="BK61"/>
      <c r="BM61" s="100"/>
      <c r="BN61"/>
      <c r="BO61"/>
      <c r="BP61"/>
    </row>
    <row r="62" spans="2:70" s="44" customFormat="1" x14ac:dyDescent="0.25">
      <c r="B62"/>
      <c r="C62" s="97" t="s">
        <v>90</v>
      </c>
      <c r="D62" s="71"/>
      <c r="E62" s="23"/>
      <c r="F62"/>
      <c r="G62" s="8"/>
      <c r="H62" s="33"/>
      <c r="J62" s="23"/>
      <c r="K62" s="230"/>
      <c r="L62" s="8"/>
      <c r="M62" s="33"/>
      <c r="O62" s="23"/>
      <c r="P62" s="230"/>
      <c r="Q62" s="8"/>
      <c r="R62" s="33"/>
      <c r="T62" s="23"/>
      <c r="U62" s="230"/>
      <c r="V62" s="8"/>
      <c r="W62" s="33"/>
      <c r="Y62" s="23"/>
      <c r="Z62" s="230"/>
      <c r="AA62" s="8"/>
      <c r="AB62" s="33"/>
      <c r="AD62" s="23"/>
      <c r="AE62" s="230"/>
      <c r="AF62" s="8"/>
      <c r="AG62" s="33"/>
      <c r="AI62" s="23"/>
      <c r="AJ62" s="230"/>
      <c r="AK62" s="8"/>
      <c r="AL62" s="33"/>
      <c r="AN62" s="23"/>
      <c r="AO62" s="230"/>
      <c r="AP62" s="8"/>
      <c r="AQ62" s="33"/>
      <c r="AS62" s="23"/>
      <c r="AT62" s="230"/>
      <c r="AU62" s="8"/>
      <c r="AV62" s="33"/>
      <c r="AX62" s="23"/>
      <c r="AY62" s="230"/>
      <c r="AZ62" s="8"/>
      <c r="BA62" s="33"/>
      <c r="BC62" s="23"/>
      <c r="BD62" s="230"/>
      <c r="BE62" s="8"/>
      <c r="BF62" s="33"/>
      <c r="BH62" s="23"/>
      <c r="BI62" s="230"/>
      <c r="BJ62" s="8"/>
      <c r="BK62" s="33"/>
      <c r="BM62" s="38"/>
      <c r="BN62" s="38"/>
      <c r="BO62" s="8"/>
      <c r="BP62" s="33"/>
    </row>
    <row r="63" spans="2:70" s="44" customFormat="1" x14ac:dyDescent="0.25">
      <c r="B63">
        <f>+MAX($B$1:B59)+1</f>
        <v>70</v>
      </c>
      <c r="C63" s="15" t="s">
        <v>91</v>
      </c>
      <c r="D63" s="71">
        <v>2.3181175166825772</v>
      </c>
      <c r="E63" s="23">
        <f>+_xlfn.XLOOKUP($B63,Expenses_FY25B!$B:$B,Expenses_FY25B!S:S)/1000</f>
        <v>0</v>
      </c>
      <c r="F63" s="25"/>
      <c r="G63" s="8">
        <f t="shared" si="194"/>
        <v>0</v>
      </c>
      <c r="H63" s="33" t="str">
        <f t="shared" si="195"/>
        <v>n.a.</v>
      </c>
      <c r="J63" s="23">
        <f>+_xlfn.XLOOKUP($B63,Expenses_FY25B!$B:$B,Expenses_FY25B!T:T)/1000</f>
        <v>0</v>
      </c>
      <c r="K63" s="25"/>
      <c r="L63" s="8">
        <f t="shared" si="196"/>
        <v>0</v>
      </c>
      <c r="M63" s="33" t="str">
        <f t="shared" si="197"/>
        <v>n.a.</v>
      </c>
      <c r="O63" s="23">
        <f>+_xlfn.XLOOKUP($B63,Expenses_FY25B!$B:$B,Expenses_FY25B!U:U)/1000</f>
        <v>0</v>
      </c>
      <c r="P63" s="25"/>
      <c r="Q63" s="8">
        <f t="shared" si="198"/>
        <v>0</v>
      </c>
      <c r="R63" s="33" t="str">
        <f t="shared" si="199"/>
        <v>n.a.</v>
      </c>
      <c r="T63" s="23">
        <f>+_xlfn.XLOOKUP($B63,Expenses_FY25B!$B:$B,Expenses_FY25B!V:V)/1000</f>
        <v>0</v>
      </c>
      <c r="U63" s="25"/>
      <c r="V63" s="8">
        <f t="shared" si="200"/>
        <v>0</v>
      </c>
      <c r="W63" s="33" t="str">
        <f t="shared" si="201"/>
        <v>n.a.</v>
      </c>
      <c r="Y63" s="23">
        <f>+_xlfn.XLOOKUP($B63,Expenses_FY25B!$B:$B,Expenses_FY25B!W:W)/1000</f>
        <v>0</v>
      </c>
      <c r="Z63" s="25"/>
      <c r="AA63" s="8">
        <f t="shared" si="202"/>
        <v>0</v>
      </c>
      <c r="AB63" s="33" t="str">
        <f t="shared" si="203"/>
        <v>n.a.</v>
      </c>
      <c r="AD63" s="23">
        <f>+_xlfn.XLOOKUP($B63,Expenses_FY25B!$B:$B,Expenses_FY25B!X:X)/1000</f>
        <v>0</v>
      </c>
      <c r="AE63" s="25"/>
      <c r="AF63" s="8">
        <f t="shared" si="204"/>
        <v>0</v>
      </c>
      <c r="AG63" s="33" t="str">
        <f t="shared" si="205"/>
        <v>n.a.</v>
      </c>
      <c r="AI63" s="23">
        <f>+_xlfn.XLOOKUP($B63,Expenses_FY25B!$B:$B,Expenses_FY25B!Y:Y)/1000</f>
        <v>0</v>
      </c>
      <c r="AJ63" s="25"/>
      <c r="AK63" s="8">
        <f t="shared" si="206"/>
        <v>0</v>
      </c>
      <c r="AL63" s="33" t="str">
        <f t="shared" si="207"/>
        <v>n.a.</v>
      </c>
      <c r="AN63" s="23">
        <f>+_xlfn.XLOOKUP($B63,Expenses_FY25B!$B:$B,Expenses_FY25B!Z:Z)/1000</f>
        <v>0</v>
      </c>
      <c r="AO63" s="25"/>
      <c r="AP63" s="8">
        <f t="shared" si="208"/>
        <v>0</v>
      </c>
      <c r="AQ63" s="33" t="str">
        <f t="shared" si="209"/>
        <v>n.a.</v>
      </c>
      <c r="AS63" s="23">
        <f>+_xlfn.XLOOKUP($B63,Expenses_FY25B!$B:$B,Expenses_FY25B!AA:AA)/1000</f>
        <v>0</v>
      </c>
      <c r="AT63" s="25"/>
      <c r="AU63" s="8">
        <f t="shared" si="210"/>
        <v>0</v>
      </c>
      <c r="AV63" s="33" t="str">
        <f t="shared" si="211"/>
        <v>n.a.</v>
      </c>
      <c r="AX63" s="23">
        <f>+_xlfn.XLOOKUP($B63,Expenses_FY25B!$B:$B,Expenses_FY25B!AB:AB)/1000</f>
        <v>0</v>
      </c>
      <c r="AY63" s="25"/>
      <c r="AZ63" s="8">
        <f t="shared" si="212"/>
        <v>0</v>
      </c>
      <c r="BA63" s="33" t="str">
        <f t="shared" si="213"/>
        <v>n.a.</v>
      </c>
      <c r="BC63" s="23">
        <f>+_xlfn.XLOOKUP($B63,Expenses_FY25B!$B:$B,Expenses_FY25B!AC:AC)/1000</f>
        <v>0</v>
      </c>
      <c r="BD63" s="25"/>
      <c r="BE63" s="8">
        <f t="shared" si="214"/>
        <v>0</v>
      </c>
      <c r="BF63" s="33" t="str">
        <f t="shared" si="215"/>
        <v>n.a.</v>
      </c>
      <c r="BH63" s="23">
        <f>+_xlfn.XLOOKUP($B63,Expenses_FY25B!$B:$B,Expenses_FY25B!AD:AD)/1000</f>
        <v>0</v>
      </c>
      <c r="BI63" s="25"/>
      <c r="BJ63" s="8">
        <f t="shared" si="216"/>
        <v>0</v>
      </c>
      <c r="BK63" s="33" t="str">
        <f t="shared" si="217"/>
        <v>n.a.</v>
      </c>
      <c r="BM63" s="38">
        <f t="shared" si="218"/>
        <v>0</v>
      </c>
      <c r="BN63" s="38">
        <f t="shared" si="219"/>
        <v>0</v>
      </c>
      <c r="BO63" s="8">
        <f t="shared" si="220"/>
        <v>0</v>
      </c>
      <c r="BP63" s="33" t="str">
        <f t="shared" si="221"/>
        <v>n.a.</v>
      </c>
    </row>
    <row r="64" spans="2:70" s="44" customFormat="1" x14ac:dyDescent="0.25">
      <c r="B64">
        <f>+MAX($B$1:B63)+1</f>
        <v>71</v>
      </c>
      <c r="C64" s="15" t="s">
        <v>92</v>
      </c>
      <c r="D64" s="71">
        <v>4188.5623335762903</v>
      </c>
      <c r="E64" s="23">
        <f>+_xlfn.XLOOKUP($B64,Expenses_FY25B!$B:$B,Expenses_FY25B!S:S)/1000</f>
        <v>0</v>
      </c>
      <c r="F64" s="25"/>
      <c r="G64" s="8">
        <f t="shared" si="194"/>
        <v>0</v>
      </c>
      <c r="H64" s="33" t="str">
        <f t="shared" si="195"/>
        <v>n.a.</v>
      </c>
      <c r="J64" s="23">
        <f>+_xlfn.XLOOKUP($B64,Expenses_FY25B!$B:$B,Expenses_FY25B!T:T)/1000</f>
        <v>0</v>
      </c>
      <c r="K64" s="25"/>
      <c r="L64" s="8">
        <f t="shared" si="196"/>
        <v>0</v>
      </c>
      <c r="M64" s="33" t="str">
        <f t="shared" si="197"/>
        <v>n.a.</v>
      </c>
      <c r="O64" s="23">
        <f>+_xlfn.XLOOKUP($B64,Expenses_FY25B!$B:$B,Expenses_FY25B!U:U)/1000</f>
        <v>0</v>
      </c>
      <c r="P64" s="25"/>
      <c r="Q64" s="8">
        <f t="shared" si="198"/>
        <v>0</v>
      </c>
      <c r="R64" s="33" t="str">
        <f t="shared" si="199"/>
        <v>n.a.</v>
      </c>
      <c r="T64" s="23">
        <f>+_xlfn.XLOOKUP($B64,Expenses_FY25B!$B:$B,Expenses_FY25B!V:V)/1000</f>
        <v>0</v>
      </c>
      <c r="U64" s="25"/>
      <c r="V64" s="8">
        <f t="shared" si="200"/>
        <v>0</v>
      </c>
      <c r="W64" s="33" t="str">
        <f t="shared" si="201"/>
        <v>n.a.</v>
      </c>
      <c r="Y64" s="23">
        <f>+_xlfn.XLOOKUP($B64,Expenses_FY25B!$B:$B,Expenses_FY25B!W:W)/1000</f>
        <v>0</v>
      </c>
      <c r="Z64" s="25"/>
      <c r="AA64" s="8">
        <f t="shared" si="202"/>
        <v>0</v>
      </c>
      <c r="AB64" s="33" t="str">
        <f t="shared" si="203"/>
        <v>n.a.</v>
      </c>
      <c r="AD64" s="23">
        <f>+_xlfn.XLOOKUP($B64,Expenses_FY25B!$B:$B,Expenses_FY25B!X:X)/1000</f>
        <v>0</v>
      </c>
      <c r="AE64" s="25"/>
      <c r="AF64" s="8">
        <f t="shared" si="204"/>
        <v>0</v>
      </c>
      <c r="AG64" s="33" t="str">
        <f t="shared" si="205"/>
        <v>n.a.</v>
      </c>
      <c r="AI64" s="23">
        <f>+_xlfn.XLOOKUP($B64,Expenses_FY25B!$B:$B,Expenses_FY25B!Y:Y)/1000</f>
        <v>0</v>
      </c>
      <c r="AJ64" s="25"/>
      <c r="AK64" s="8">
        <f t="shared" si="206"/>
        <v>0</v>
      </c>
      <c r="AL64" s="33" t="str">
        <f t="shared" si="207"/>
        <v>n.a.</v>
      </c>
      <c r="AN64" s="23">
        <f>+_xlfn.XLOOKUP($B64,Expenses_FY25B!$B:$B,Expenses_FY25B!Z:Z)/1000</f>
        <v>0</v>
      </c>
      <c r="AO64" s="25"/>
      <c r="AP64" s="8">
        <f t="shared" si="208"/>
        <v>0</v>
      </c>
      <c r="AQ64" s="33" t="str">
        <f t="shared" si="209"/>
        <v>n.a.</v>
      </c>
      <c r="AS64" s="23">
        <f>+_xlfn.XLOOKUP($B64,Expenses_FY25B!$B:$B,Expenses_FY25B!AA:AA)/1000</f>
        <v>0</v>
      </c>
      <c r="AT64" s="25"/>
      <c r="AU64" s="8">
        <f t="shared" si="210"/>
        <v>0</v>
      </c>
      <c r="AV64" s="33" t="str">
        <f t="shared" si="211"/>
        <v>n.a.</v>
      </c>
      <c r="AX64" s="23">
        <f>+_xlfn.XLOOKUP($B64,Expenses_FY25B!$B:$B,Expenses_FY25B!AB:AB)/1000</f>
        <v>0</v>
      </c>
      <c r="AY64" s="25"/>
      <c r="AZ64" s="8">
        <f t="shared" si="212"/>
        <v>0</v>
      </c>
      <c r="BA64" s="33" t="str">
        <f t="shared" si="213"/>
        <v>n.a.</v>
      </c>
      <c r="BC64" s="23">
        <f>+_xlfn.XLOOKUP($B64,Expenses_FY25B!$B:$B,Expenses_FY25B!AC:AC)/1000</f>
        <v>0</v>
      </c>
      <c r="BD64" s="25"/>
      <c r="BE64" s="8">
        <f t="shared" si="214"/>
        <v>0</v>
      </c>
      <c r="BF64" s="33" t="str">
        <f t="shared" si="215"/>
        <v>n.a.</v>
      </c>
      <c r="BH64" s="23">
        <f>+_xlfn.XLOOKUP($B64,Expenses_FY25B!$B:$B,Expenses_FY25B!AD:AD)/1000</f>
        <v>0</v>
      </c>
      <c r="BI64" s="25"/>
      <c r="BJ64" s="8">
        <f t="shared" si="216"/>
        <v>0</v>
      </c>
      <c r="BK64" s="33" t="str">
        <f t="shared" si="217"/>
        <v>n.a.</v>
      </c>
      <c r="BM64" s="38">
        <f t="shared" si="218"/>
        <v>0</v>
      </c>
      <c r="BN64" s="38">
        <f t="shared" si="219"/>
        <v>0</v>
      </c>
      <c r="BO64" s="8">
        <f t="shared" si="220"/>
        <v>0</v>
      </c>
      <c r="BP64" s="33" t="str">
        <f t="shared" si="221"/>
        <v>n.a.</v>
      </c>
    </row>
    <row r="65" spans="2:71" s="44" customFormat="1" x14ac:dyDescent="0.25">
      <c r="B65">
        <f>+MAX($B$1:B64)+1</f>
        <v>72</v>
      </c>
      <c r="C65" s="15" t="s">
        <v>94</v>
      </c>
      <c r="D65" s="71">
        <v>2172.9149837628984</v>
      </c>
      <c r="E65" s="23">
        <f>+_xlfn.XLOOKUP($B65,Expenses_FY25B!$B:$B,Expenses_FY25B!S:S)/1000</f>
        <v>0</v>
      </c>
      <c r="F65" s="25"/>
      <c r="G65" s="8">
        <f t="shared" si="194"/>
        <v>0</v>
      </c>
      <c r="H65" s="33" t="str">
        <f t="shared" si="195"/>
        <v>n.a.</v>
      </c>
      <c r="J65" s="23">
        <f>+_xlfn.XLOOKUP($B65,Expenses_FY25B!$B:$B,Expenses_FY25B!T:T)/1000</f>
        <v>0</v>
      </c>
      <c r="K65" s="25"/>
      <c r="L65" s="8">
        <f t="shared" si="196"/>
        <v>0</v>
      </c>
      <c r="M65" s="33" t="str">
        <f t="shared" si="197"/>
        <v>n.a.</v>
      </c>
      <c r="O65" s="23">
        <f>+_xlfn.XLOOKUP($B65,Expenses_FY25B!$B:$B,Expenses_FY25B!U:U)/1000</f>
        <v>0</v>
      </c>
      <c r="P65" s="25"/>
      <c r="Q65" s="8">
        <f t="shared" si="198"/>
        <v>0</v>
      </c>
      <c r="R65" s="33" t="str">
        <f t="shared" si="199"/>
        <v>n.a.</v>
      </c>
      <c r="T65" s="23">
        <f>+_xlfn.XLOOKUP($B65,Expenses_FY25B!$B:$B,Expenses_FY25B!V:V)/1000</f>
        <v>0</v>
      </c>
      <c r="U65" s="25"/>
      <c r="V65" s="8">
        <f t="shared" si="200"/>
        <v>0</v>
      </c>
      <c r="W65" s="33" t="str">
        <f t="shared" si="201"/>
        <v>n.a.</v>
      </c>
      <c r="Y65" s="23">
        <f>+_xlfn.XLOOKUP($B65,Expenses_FY25B!$B:$B,Expenses_FY25B!W:W)/1000</f>
        <v>0</v>
      </c>
      <c r="Z65" s="25"/>
      <c r="AA65" s="8">
        <f t="shared" si="202"/>
        <v>0</v>
      </c>
      <c r="AB65" s="33" t="str">
        <f t="shared" si="203"/>
        <v>n.a.</v>
      </c>
      <c r="AD65" s="23">
        <f>+_xlfn.XLOOKUP($B65,Expenses_FY25B!$B:$B,Expenses_FY25B!X:X)/1000</f>
        <v>0</v>
      </c>
      <c r="AE65" s="25"/>
      <c r="AF65" s="8">
        <f t="shared" si="204"/>
        <v>0</v>
      </c>
      <c r="AG65" s="33" t="str">
        <f t="shared" si="205"/>
        <v>n.a.</v>
      </c>
      <c r="AI65" s="23">
        <f>+_xlfn.XLOOKUP($B65,Expenses_FY25B!$B:$B,Expenses_FY25B!Y:Y)/1000</f>
        <v>0</v>
      </c>
      <c r="AJ65" s="25"/>
      <c r="AK65" s="8">
        <f t="shared" si="206"/>
        <v>0</v>
      </c>
      <c r="AL65" s="33" t="str">
        <f t="shared" si="207"/>
        <v>n.a.</v>
      </c>
      <c r="AN65" s="23">
        <f>+_xlfn.XLOOKUP($B65,Expenses_FY25B!$B:$B,Expenses_FY25B!Z:Z)/1000</f>
        <v>0</v>
      </c>
      <c r="AO65" s="25"/>
      <c r="AP65" s="8">
        <f t="shared" si="208"/>
        <v>0</v>
      </c>
      <c r="AQ65" s="33" t="str">
        <f t="shared" si="209"/>
        <v>n.a.</v>
      </c>
      <c r="AS65" s="23">
        <f>+_xlfn.XLOOKUP($B65,Expenses_FY25B!$B:$B,Expenses_FY25B!AA:AA)/1000</f>
        <v>0</v>
      </c>
      <c r="AT65" s="25"/>
      <c r="AU65" s="8">
        <f t="shared" si="210"/>
        <v>0</v>
      </c>
      <c r="AV65" s="33" t="str">
        <f t="shared" si="211"/>
        <v>n.a.</v>
      </c>
      <c r="AX65" s="23">
        <f>+_xlfn.XLOOKUP($B65,Expenses_FY25B!$B:$B,Expenses_FY25B!AB:AB)/1000</f>
        <v>0</v>
      </c>
      <c r="AY65" s="25"/>
      <c r="AZ65" s="8">
        <f t="shared" si="212"/>
        <v>0</v>
      </c>
      <c r="BA65" s="33" t="str">
        <f t="shared" si="213"/>
        <v>n.a.</v>
      </c>
      <c r="BC65" s="23">
        <f>+_xlfn.XLOOKUP($B65,Expenses_FY25B!$B:$B,Expenses_FY25B!AC:AC)/1000</f>
        <v>0</v>
      </c>
      <c r="BD65" s="25"/>
      <c r="BE65" s="8">
        <f t="shared" si="214"/>
        <v>0</v>
      </c>
      <c r="BF65" s="33" t="str">
        <f t="shared" si="215"/>
        <v>n.a.</v>
      </c>
      <c r="BH65" s="23">
        <f>+_xlfn.XLOOKUP($B65,Expenses_FY25B!$B:$B,Expenses_FY25B!AD:AD)/1000</f>
        <v>0</v>
      </c>
      <c r="BI65" s="25"/>
      <c r="BJ65" s="8">
        <f t="shared" si="216"/>
        <v>0</v>
      </c>
      <c r="BK65" s="33" t="str">
        <f t="shared" si="217"/>
        <v>n.a.</v>
      </c>
      <c r="BM65" s="38">
        <f t="shared" si="218"/>
        <v>0</v>
      </c>
      <c r="BN65" s="38">
        <f t="shared" si="219"/>
        <v>0</v>
      </c>
      <c r="BO65" s="8">
        <f t="shared" si="220"/>
        <v>0</v>
      </c>
      <c r="BP65" s="33" t="str">
        <f t="shared" si="221"/>
        <v>n.a.</v>
      </c>
    </row>
    <row r="66" spans="2:71" s="44" customFormat="1" x14ac:dyDescent="0.25">
      <c r="B66">
        <f>+MAX($B$1:B65)+1</f>
        <v>73</v>
      </c>
      <c r="C66" s="15" t="s">
        <v>95</v>
      </c>
      <c r="D66" s="71">
        <v>38722</v>
      </c>
      <c r="E66" s="23">
        <f>+_xlfn.XLOOKUP($B66,Expenses_FY25B!$B:$B,Expenses_FY25B!S:S)/1000</f>
        <v>0</v>
      </c>
      <c r="F66" s="25"/>
      <c r="G66" s="8">
        <f t="shared" si="194"/>
        <v>0</v>
      </c>
      <c r="H66" s="33" t="str">
        <f t="shared" si="195"/>
        <v>n.a.</v>
      </c>
      <c r="J66" s="23">
        <f>+_xlfn.XLOOKUP($B66,Expenses_FY25B!$B:$B,Expenses_FY25B!T:T)/1000</f>
        <v>0</v>
      </c>
      <c r="K66" s="25"/>
      <c r="L66" s="8">
        <f t="shared" si="196"/>
        <v>0</v>
      </c>
      <c r="M66" s="33" t="str">
        <f t="shared" si="197"/>
        <v>n.a.</v>
      </c>
      <c r="O66" s="23">
        <f>+_xlfn.XLOOKUP($B66,Expenses_FY25B!$B:$B,Expenses_FY25B!U:U)/1000</f>
        <v>0</v>
      </c>
      <c r="P66" s="25"/>
      <c r="Q66" s="8">
        <f t="shared" si="198"/>
        <v>0</v>
      </c>
      <c r="R66" s="33" t="str">
        <f t="shared" si="199"/>
        <v>n.a.</v>
      </c>
      <c r="T66" s="23">
        <f>+_xlfn.XLOOKUP($B66,Expenses_FY25B!$B:$B,Expenses_FY25B!V:V)/1000</f>
        <v>0</v>
      </c>
      <c r="U66" s="25"/>
      <c r="V66" s="8">
        <f t="shared" si="200"/>
        <v>0</v>
      </c>
      <c r="W66" s="33" t="str">
        <f t="shared" si="201"/>
        <v>n.a.</v>
      </c>
      <c r="Y66" s="23">
        <f>+_xlfn.XLOOKUP($B66,Expenses_FY25B!$B:$B,Expenses_FY25B!W:W)/1000</f>
        <v>0</v>
      </c>
      <c r="Z66" s="25"/>
      <c r="AA66" s="8">
        <f t="shared" si="202"/>
        <v>0</v>
      </c>
      <c r="AB66" s="33" t="str">
        <f t="shared" si="203"/>
        <v>n.a.</v>
      </c>
      <c r="AD66" s="23">
        <f>+_xlfn.XLOOKUP($B66,Expenses_FY25B!$B:$B,Expenses_FY25B!X:X)/1000</f>
        <v>0</v>
      </c>
      <c r="AE66" s="25"/>
      <c r="AF66" s="8">
        <f t="shared" si="204"/>
        <v>0</v>
      </c>
      <c r="AG66" s="33" t="str">
        <f t="shared" si="205"/>
        <v>n.a.</v>
      </c>
      <c r="AI66" s="23">
        <f>+_xlfn.XLOOKUP($B66,Expenses_FY25B!$B:$B,Expenses_FY25B!Y:Y)/1000</f>
        <v>0</v>
      </c>
      <c r="AJ66" s="25"/>
      <c r="AK66" s="8">
        <f t="shared" si="206"/>
        <v>0</v>
      </c>
      <c r="AL66" s="33" t="str">
        <f t="shared" si="207"/>
        <v>n.a.</v>
      </c>
      <c r="AN66" s="23">
        <f>+_xlfn.XLOOKUP($B66,Expenses_FY25B!$B:$B,Expenses_FY25B!Z:Z)/1000</f>
        <v>0</v>
      </c>
      <c r="AO66" s="25"/>
      <c r="AP66" s="8">
        <f t="shared" si="208"/>
        <v>0</v>
      </c>
      <c r="AQ66" s="33" t="str">
        <f t="shared" si="209"/>
        <v>n.a.</v>
      </c>
      <c r="AS66" s="23">
        <f>+_xlfn.XLOOKUP($B66,Expenses_FY25B!$B:$B,Expenses_FY25B!AA:AA)/1000</f>
        <v>0</v>
      </c>
      <c r="AT66" s="25"/>
      <c r="AU66" s="8">
        <f t="shared" si="210"/>
        <v>0</v>
      </c>
      <c r="AV66" s="33" t="str">
        <f t="shared" si="211"/>
        <v>n.a.</v>
      </c>
      <c r="AX66" s="23">
        <f>+_xlfn.XLOOKUP($B66,Expenses_FY25B!$B:$B,Expenses_FY25B!AB:AB)/1000</f>
        <v>0</v>
      </c>
      <c r="AY66" s="25"/>
      <c r="AZ66" s="8">
        <f t="shared" si="212"/>
        <v>0</v>
      </c>
      <c r="BA66" s="33" t="str">
        <f t="shared" si="213"/>
        <v>n.a.</v>
      </c>
      <c r="BC66" s="23">
        <f>+_xlfn.XLOOKUP($B66,Expenses_FY25B!$B:$B,Expenses_FY25B!AC:AC)/1000</f>
        <v>0</v>
      </c>
      <c r="BD66" s="25"/>
      <c r="BE66" s="8">
        <f t="shared" si="214"/>
        <v>0</v>
      </c>
      <c r="BF66" s="33" t="str">
        <f t="shared" si="215"/>
        <v>n.a.</v>
      </c>
      <c r="BH66" s="23">
        <f>+_xlfn.XLOOKUP($B66,Expenses_FY25B!$B:$B,Expenses_FY25B!AD:AD)/1000</f>
        <v>0</v>
      </c>
      <c r="BI66" s="25"/>
      <c r="BJ66" s="8">
        <f t="shared" si="216"/>
        <v>0</v>
      </c>
      <c r="BK66" s="33" t="str">
        <f t="shared" si="217"/>
        <v>n.a.</v>
      </c>
      <c r="BM66" s="38">
        <f t="shared" si="218"/>
        <v>0</v>
      </c>
      <c r="BN66" s="38">
        <f t="shared" si="219"/>
        <v>0</v>
      </c>
      <c r="BO66" s="8">
        <f t="shared" si="220"/>
        <v>0</v>
      </c>
      <c r="BP66" s="33" t="str">
        <f t="shared" si="221"/>
        <v>n.a.</v>
      </c>
      <c r="BR66" s="192"/>
      <c r="BS66" s="192"/>
    </row>
    <row r="67" spans="2:71" s="44" customFormat="1" x14ac:dyDescent="0.25">
      <c r="B67">
        <f>+MAX($B$1:B66)+1</f>
        <v>74</v>
      </c>
      <c r="C67" s="15" t="s">
        <v>97</v>
      </c>
      <c r="D67" s="71">
        <v>24400</v>
      </c>
      <c r="E67" s="23">
        <f>+_xlfn.XLOOKUP($B67,Expenses_FY25B!$B:$B,Expenses_FY25B!S:S)/1000</f>
        <v>0</v>
      </c>
      <c r="F67" s="25"/>
      <c r="G67" s="8">
        <f t="shared" si="194"/>
        <v>0</v>
      </c>
      <c r="H67" s="33" t="str">
        <f t="shared" si="195"/>
        <v>n.a.</v>
      </c>
      <c r="J67" s="23">
        <f>+_xlfn.XLOOKUP($B67,Expenses_FY25B!$B:$B,Expenses_FY25B!T:T)/1000</f>
        <v>0</v>
      </c>
      <c r="K67" s="25"/>
      <c r="L67" s="8">
        <f t="shared" si="196"/>
        <v>0</v>
      </c>
      <c r="M67" s="33" t="str">
        <f t="shared" si="197"/>
        <v>n.a.</v>
      </c>
      <c r="O67" s="23">
        <f>+_xlfn.XLOOKUP($B67,Expenses_FY25B!$B:$B,Expenses_FY25B!U:U)/1000</f>
        <v>0</v>
      </c>
      <c r="P67" s="25"/>
      <c r="Q67" s="8">
        <f t="shared" si="198"/>
        <v>0</v>
      </c>
      <c r="R67" s="33" t="str">
        <f t="shared" si="199"/>
        <v>n.a.</v>
      </c>
      <c r="T67" s="23">
        <f>+_xlfn.XLOOKUP($B67,Expenses_FY25B!$B:$B,Expenses_FY25B!V:V)/1000</f>
        <v>0</v>
      </c>
      <c r="U67" s="25"/>
      <c r="V67" s="8">
        <f t="shared" si="200"/>
        <v>0</v>
      </c>
      <c r="W67" s="33" t="str">
        <f t="shared" si="201"/>
        <v>n.a.</v>
      </c>
      <c r="Y67" s="23">
        <f>+_xlfn.XLOOKUP($B67,Expenses_FY25B!$B:$B,Expenses_FY25B!W:W)/1000</f>
        <v>0</v>
      </c>
      <c r="Z67" s="25"/>
      <c r="AA67" s="8">
        <f t="shared" si="202"/>
        <v>0</v>
      </c>
      <c r="AB67" s="33" t="str">
        <f t="shared" si="203"/>
        <v>n.a.</v>
      </c>
      <c r="AD67" s="23">
        <f>+_xlfn.XLOOKUP($B67,Expenses_FY25B!$B:$B,Expenses_FY25B!X:X)/1000</f>
        <v>0</v>
      </c>
      <c r="AE67" s="25"/>
      <c r="AF67" s="8">
        <f t="shared" si="204"/>
        <v>0</v>
      </c>
      <c r="AG67" s="33" t="str">
        <f t="shared" si="205"/>
        <v>n.a.</v>
      </c>
      <c r="AI67" s="23">
        <f>+_xlfn.XLOOKUP($B67,Expenses_FY25B!$B:$B,Expenses_FY25B!Y:Y)/1000</f>
        <v>0</v>
      </c>
      <c r="AJ67" s="25"/>
      <c r="AK67" s="8">
        <f t="shared" si="206"/>
        <v>0</v>
      </c>
      <c r="AL67" s="33" t="str">
        <f t="shared" si="207"/>
        <v>n.a.</v>
      </c>
      <c r="AN67" s="23">
        <f>+_xlfn.XLOOKUP($B67,Expenses_FY25B!$B:$B,Expenses_FY25B!Z:Z)/1000</f>
        <v>0</v>
      </c>
      <c r="AO67" s="25"/>
      <c r="AP67" s="8">
        <f t="shared" si="208"/>
        <v>0</v>
      </c>
      <c r="AQ67" s="33" t="str">
        <f t="shared" si="209"/>
        <v>n.a.</v>
      </c>
      <c r="AS67" s="23">
        <f>+_xlfn.XLOOKUP($B67,Expenses_FY25B!$B:$B,Expenses_FY25B!AA:AA)/1000</f>
        <v>0</v>
      </c>
      <c r="AT67" s="25"/>
      <c r="AU67" s="8">
        <f t="shared" si="210"/>
        <v>0</v>
      </c>
      <c r="AV67" s="33" t="str">
        <f t="shared" si="211"/>
        <v>n.a.</v>
      </c>
      <c r="AX67" s="23">
        <f>+_xlfn.XLOOKUP($B67,Expenses_FY25B!$B:$B,Expenses_FY25B!AB:AB)/1000</f>
        <v>0</v>
      </c>
      <c r="AY67" s="25"/>
      <c r="AZ67" s="8">
        <f t="shared" si="212"/>
        <v>0</v>
      </c>
      <c r="BA67" s="33" t="str">
        <f t="shared" si="213"/>
        <v>n.a.</v>
      </c>
      <c r="BC67" s="23">
        <f>+_xlfn.XLOOKUP($B67,Expenses_FY25B!$B:$B,Expenses_FY25B!AC:AC)/1000</f>
        <v>0</v>
      </c>
      <c r="BD67" s="25"/>
      <c r="BE67" s="8">
        <f t="shared" si="214"/>
        <v>0</v>
      </c>
      <c r="BF67" s="33" t="str">
        <f t="shared" si="215"/>
        <v>n.a.</v>
      </c>
      <c r="BH67" s="23">
        <f>+_xlfn.XLOOKUP($B67,Expenses_FY25B!$B:$B,Expenses_FY25B!AD:AD)/1000</f>
        <v>0</v>
      </c>
      <c r="BI67" s="25"/>
      <c r="BJ67" s="8">
        <f t="shared" si="216"/>
        <v>0</v>
      </c>
      <c r="BK67" s="33" t="str">
        <f t="shared" si="217"/>
        <v>n.a.</v>
      </c>
      <c r="BM67" s="38">
        <f t="shared" si="218"/>
        <v>0</v>
      </c>
      <c r="BN67" s="38">
        <f t="shared" si="219"/>
        <v>0</v>
      </c>
      <c r="BO67" s="8">
        <f t="shared" si="220"/>
        <v>0</v>
      </c>
      <c r="BP67" s="33" t="str">
        <f t="shared" si="221"/>
        <v>n.a.</v>
      </c>
    </row>
    <row r="68" spans="2:71" s="44" customFormat="1" x14ac:dyDescent="0.25">
      <c r="B68">
        <f>+MAX($B$1:B67)+1</f>
        <v>75</v>
      </c>
      <c r="C68" s="15" t="s">
        <v>98</v>
      </c>
      <c r="D68" s="71">
        <v>4750</v>
      </c>
      <c r="E68" s="23">
        <f>+_xlfn.XLOOKUP($B68,Expenses_FY25B!$B:$B,Expenses_FY25B!S:S)/1000</f>
        <v>0</v>
      </c>
      <c r="F68" s="25"/>
      <c r="G68" s="8">
        <f t="shared" si="194"/>
        <v>0</v>
      </c>
      <c r="H68" s="33" t="str">
        <f t="shared" si="195"/>
        <v>n.a.</v>
      </c>
      <c r="J68" s="23">
        <f>+_xlfn.XLOOKUP($B68,Expenses_FY25B!$B:$B,Expenses_FY25B!T:T)/1000</f>
        <v>0</v>
      </c>
      <c r="K68" s="25"/>
      <c r="L68" s="8">
        <f t="shared" si="196"/>
        <v>0</v>
      </c>
      <c r="M68" s="33" t="str">
        <f t="shared" si="197"/>
        <v>n.a.</v>
      </c>
      <c r="O68" s="23">
        <f>+_xlfn.XLOOKUP($B68,Expenses_FY25B!$B:$B,Expenses_FY25B!U:U)/1000</f>
        <v>0</v>
      </c>
      <c r="P68" s="25"/>
      <c r="Q68" s="8">
        <f t="shared" si="198"/>
        <v>0</v>
      </c>
      <c r="R68" s="33" t="str">
        <f t="shared" si="199"/>
        <v>n.a.</v>
      </c>
      <c r="T68" s="23">
        <f>+_xlfn.XLOOKUP($B68,Expenses_FY25B!$B:$B,Expenses_FY25B!V:V)/1000</f>
        <v>0</v>
      </c>
      <c r="U68" s="25"/>
      <c r="V68" s="8">
        <f t="shared" si="200"/>
        <v>0</v>
      </c>
      <c r="W68" s="33" t="str">
        <f t="shared" si="201"/>
        <v>n.a.</v>
      </c>
      <c r="Y68" s="23">
        <f>+_xlfn.XLOOKUP($B68,Expenses_FY25B!$B:$B,Expenses_FY25B!W:W)/1000</f>
        <v>0</v>
      </c>
      <c r="Z68" s="25"/>
      <c r="AA68" s="8">
        <f t="shared" si="202"/>
        <v>0</v>
      </c>
      <c r="AB68" s="33" t="str">
        <f t="shared" si="203"/>
        <v>n.a.</v>
      </c>
      <c r="AD68" s="23">
        <f>+_xlfn.XLOOKUP($B68,Expenses_FY25B!$B:$B,Expenses_FY25B!X:X)/1000</f>
        <v>0</v>
      </c>
      <c r="AE68" s="25"/>
      <c r="AF68" s="8">
        <f t="shared" si="204"/>
        <v>0</v>
      </c>
      <c r="AG68" s="33" t="str">
        <f t="shared" si="205"/>
        <v>n.a.</v>
      </c>
      <c r="AI68" s="23">
        <f>+_xlfn.XLOOKUP($B68,Expenses_FY25B!$B:$B,Expenses_FY25B!Y:Y)/1000</f>
        <v>0</v>
      </c>
      <c r="AJ68" s="25"/>
      <c r="AK68" s="8">
        <f t="shared" si="206"/>
        <v>0</v>
      </c>
      <c r="AL68" s="33" t="str">
        <f t="shared" si="207"/>
        <v>n.a.</v>
      </c>
      <c r="AN68" s="23">
        <f>+_xlfn.XLOOKUP($B68,Expenses_FY25B!$B:$B,Expenses_FY25B!Z:Z)/1000</f>
        <v>0</v>
      </c>
      <c r="AO68" s="25"/>
      <c r="AP68" s="8">
        <f t="shared" si="208"/>
        <v>0</v>
      </c>
      <c r="AQ68" s="33" t="str">
        <f t="shared" si="209"/>
        <v>n.a.</v>
      </c>
      <c r="AS68" s="23">
        <f>+_xlfn.XLOOKUP($B68,Expenses_FY25B!$B:$B,Expenses_FY25B!AA:AA)/1000</f>
        <v>0</v>
      </c>
      <c r="AT68" s="25"/>
      <c r="AU68" s="8">
        <f t="shared" si="210"/>
        <v>0</v>
      </c>
      <c r="AV68" s="33" t="str">
        <f t="shared" si="211"/>
        <v>n.a.</v>
      </c>
      <c r="AX68" s="23">
        <f>+_xlfn.XLOOKUP($B68,Expenses_FY25B!$B:$B,Expenses_FY25B!AB:AB)/1000</f>
        <v>0</v>
      </c>
      <c r="AY68" s="25"/>
      <c r="AZ68" s="8">
        <f t="shared" si="212"/>
        <v>0</v>
      </c>
      <c r="BA68" s="33" t="str">
        <f t="shared" si="213"/>
        <v>n.a.</v>
      </c>
      <c r="BC68" s="23">
        <f>+_xlfn.XLOOKUP($B68,Expenses_FY25B!$B:$B,Expenses_FY25B!AC:AC)/1000</f>
        <v>0</v>
      </c>
      <c r="BD68" s="25"/>
      <c r="BE68" s="8">
        <f t="shared" si="214"/>
        <v>0</v>
      </c>
      <c r="BF68" s="33" t="str">
        <f t="shared" si="215"/>
        <v>n.a.</v>
      </c>
      <c r="BH68" s="23">
        <f>+_xlfn.XLOOKUP($B68,Expenses_FY25B!$B:$B,Expenses_FY25B!AD:AD)/1000</f>
        <v>0</v>
      </c>
      <c r="BI68" s="25"/>
      <c r="BJ68" s="8">
        <f t="shared" si="216"/>
        <v>0</v>
      </c>
      <c r="BK68" s="33" t="str">
        <f t="shared" si="217"/>
        <v>n.a.</v>
      </c>
      <c r="BM68" s="38">
        <f t="shared" si="218"/>
        <v>0</v>
      </c>
      <c r="BN68" s="38">
        <f t="shared" si="219"/>
        <v>0</v>
      </c>
      <c r="BO68" s="8">
        <f t="shared" si="220"/>
        <v>0</v>
      </c>
      <c r="BP68" s="33" t="str">
        <f t="shared" si="221"/>
        <v>n.a.</v>
      </c>
    </row>
    <row r="69" spans="2:71" s="44" customFormat="1" x14ac:dyDescent="0.25">
      <c r="B69">
        <f>+MAX($B$1:B68)+1</f>
        <v>76</v>
      </c>
      <c r="C69" s="15" t="s">
        <v>100</v>
      </c>
      <c r="D69" s="71"/>
      <c r="E69" s="23">
        <f>+_xlfn.XLOOKUP($B69,Expenses_FY25B!$B:$B,Expenses_FY25B!S:S)/1000</f>
        <v>0</v>
      </c>
      <c r="F69" s="25"/>
      <c r="G69" s="8">
        <f t="shared" ref="G69" si="223">E69-F69</f>
        <v>0</v>
      </c>
      <c r="H69" s="33" t="str">
        <f t="shared" ref="H69" si="224">IFERROR(G69/E69,"n.a.")</f>
        <v>n.a.</v>
      </c>
      <c r="J69" s="23">
        <f>+_xlfn.XLOOKUP($B69,Expenses_FY25B!$B:$B,Expenses_FY25B!T:T)/1000</f>
        <v>0</v>
      </c>
      <c r="K69" s="25"/>
      <c r="L69" s="8">
        <f t="shared" ref="L69" si="225">J69-K69</f>
        <v>0</v>
      </c>
      <c r="M69" s="33" t="str">
        <f t="shared" ref="M69" si="226">IFERROR(L69/J69,"n.a.")</f>
        <v>n.a.</v>
      </c>
      <c r="O69" s="23">
        <f>+_xlfn.XLOOKUP($B69,Expenses_FY25B!$B:$B,Expenses_FY25B!U:U)/1000</f>
        <v>0</v>
      </c>
      <c r="P69" s="25"/>
      <c r="Q69" s="8">
        <f t="shared" ref="Q69" si="227">O69-P69</f>
        <v>0</v>
      </c>
      <c r="R69" s="33" t="str">
        <f t="shared" ref="R69" si="228">IFERROR(Q69/O69,"n.a.")</f>
        <v>n.a.</v>
      </c>
      <c r="T69" s="23">
        <f>+_xlfn.XLOOKUP($B69,Expenses_FY25B!$B:$B,Expenses_FY25B!V:V)/1000</f>
        <v>0</v>
      </c>
      <c r="U69" s="25"/>
      <c r="V69" s="8">
        <f t="shared" ref="V69" si="229">T69-U69</f>
        <v>0</v>
      </c>
      <c r="W69" s="33" t="str">
        <f t="shared" ref="W69" si="230">IFERROR(V69/T69,"n.a.")</f>
        <v>n.a.</v>
      </c>
      <c r="Y69" s="23">
        <f>+_xlfn.XLOOKUP($B69,Expenses_FY25B!$B:$B,Expenses_FY25B!W:W)/1000</f>
        <v>0</v>
      </c>
      <c r="Z69" s="25"/>
      <c r="AA69" s="8">
        <f t="shared" ref="AA69" si="231">Y69-Z69</f>
        <v>0</v>
      </c>
      <c r="AB69" s="33" t="str">
        <f t="shared" ref="AB69" si="232">IFERROR(AA69/Y69,"n.a.")</f>
        <v>n.a.</v>
      </c>
      <c r="AD69" s="23">
        <f>+_xlfn.XLOOKUP($B69,Expenses_FY25B!$B:$B,Expenses_FY25B!X:X)/1000</f>
        <v>0</v>
      </c>
      <c r="AE69" s="25"/>
      <c r="AF69" s="8">
        <f t="shared" ref="AF69" si="233">AD69-AE69</f>
        <v>0</v>
      </c>
      <c r="AG69" s="33" t="str">
        <f t="shared" ref="AG69" si="234">IFERROR(AF69/AD69,"n.a.")</f>
        <v>n.a.</v>
      </c>
      <c r="AI69" s="23">
        <f>+_xlfn.XLOOKUP($B69,Expenses_FY25B!$B:$B,Expenses_FY25B!Y:Y)/1000</f>
        <v>0</v>
      </c>
      <c r="AJ69" s="25"/>
      <c r="AK69" s="8">
        <f t="shared" ref="AK69" si="235">AI69-AJ69</f>
        <v>0</v>
      </c>
      <c r="AL69" s="33" t="str">
        <f t="shared" ref="AL69" si="236">IFERROR(AK69/AI69,"n.a.")</f>
        <v>n.a.</v>
      </c>
      <c r="AN69" s="23">
        <f>+_xlfn.XLOOKUP($B69,Expenses_FY25B!$B:$B,Expenses_FY25B!Z:Z)/1000</f>
        <v>0</v>
      </c>
      <c r="AO69" s="25"/>
      <c r="AP69" s="8">
        <f t="shared" ref="AP69" si="237">AN69-AO69</f>
        <v>0</v>
      </c>
      <c r="AQ69" s="33" t="str">
        <f t="shared" ref="AQ69" si="238">IFERROR(AP69/AN69,"n.a.")</f>
        <v>n.a.</v>
      </c>
      <c r="AS69" s="23">
        <f>+_xlfn.XLOOKUP($B69,Expenses_FY25B!$B:$B,Expenses_FY25B!AA:AA)/1000</f>
        <v>0</v>
      </c>
      <c r="AT69" s="25"/>
      <c r="AU69" s="8">
        <f t="shared" ref="AU69" si="239">AS69-AT69</f>
        <v>0</v>
      </c>
      <c r="AV69" s="33" t="str">
        <f t="shared" ref="AV69" si="240">IFERROR(AU69/AS69,"n.a.")</f>
        <v>n.a.</v>
      </c>
      <c r="AX69" s="23">
        <f>+_xlfn.XLOOKUP($B69,Expenses_FY25B!$B:$B,Expenses_FY25B!AB:AB)/1000</f>
        <v>0</v>
      </c>
      <c r="AY69" s="25"/>
      <c r="AZ69" s="8">
        <f t="shared" ref="AZ69" si="241">AX69-AY69</f>
        <v>0</v>
      </c>
      <c r="BA69" s="33" t="str">
        <f t="shared" ref="BA69" si="242">IFERROR(AZ69/AX69,"n.a.")</f>
        <v>n.a.</v>
      </c>
      <c r="BC69" s="23">
        <f>+_xlfn.XLOOKUP($B69,Expenses_FY25B!$B:$B,Expenses_FY25B!AC:AC)/1000</f>
        <v>0</v>
      </c>
      <c r="BD69" s="25"/>
      <c r="BE69" s="8">
        <f t="shared" ref="BE69" si="243">BC69-BD69</f>
        <v>0</v>
      </c>
      <c r="BF69" s="33" t="str">
        <f t="shared" ref="BF69" si="244">IFERROR(BE69/BC69,"n.a.")</f>
        <v>n.a.</v>
      </c>
      <c r="BH69" s="23">
        <f>+_xlfn.XLOOKUP($B69,Expenses_FY25B!$B:$B,Expenses_FY25B!AD:AD)/1000</f>
        <v>0</v>
      </c>
      <c r="BI69" s="25"/>
      <c r="BJ69" s="8">
        <f t="shared" ref="BJ69" si="245">BH69-BI69</f>
        <v>0</v>
      </c>
      <c r="BK69" s="33" t="str">
        <f t="shared" ref="BK69" si="246">IFERROR(BJ69/BH69,"n.a.")</f>
        <v>n.a.</v>
      </c>
      <c r="BM69" s="38">
        <f t="shared" ref="BM69" si="247">+E69+J69+O69+T69+Y69+AD69+AI69+AN69+AS69+AX69+BC69+BH69</f>
        <v>0</v>
      </c>
      <c r="BN69" s="38">
        <f t="shared" ref="BN69" si="248">+F69+K69+P69+U69+Z69+AE69+AJ69+AO69+AT69+AY69+BD69+BI69</f>
        <v>0</v>
      </c>
      <c r="BO69" s="8">
        <f t="shared" ref="BO69" si="249">BM69-BN69</f>
        <v>0</v>
      </c>
      <c r="BP69" s="33" t="str">
        <f t="shared" ref="BP69" si="250">IFERROR(BO69/BM69,"n.a.")</f>
        <v>n.a.</v>
      </c>
    </row>
    <row r="70" spans="2:71" s="44" customFormat="1" x14ac:dyDescent="0.25">
      <c r="B70"/>
      <c r="C70" s="97" t="s">
        <v>109</v>
      </c>
      <c r="D70" s="71"/>
      <c r="E70" s="32">
        <f>SUM(E63:E69)</f>
        <v>0</v>
      </c>
      <c r="F70" s="32">
        <f>SUM(F63:F69)</f>
        <v>0</v>
      </c>
      <c r="G70" s="32">
        <f>E70-F70</f>
        <v>0</v>
      </c>
      <c r="H70" s="34" t="str">
        <f>IFERROR(G70/E70,"")</f>
        <v/>
      </c>
      <c r="I70"/>
      <c r="J70" s="32">
        <f>SUM(J66:J69)</f>
        <v>0</v>
      </c>
      <c r="K70" s="32">
        <f>SUM(K66:K69)</f>
        <v>0</v>
      </c>
      <c r="L70" s="32">
        <f>J70-K70</f>
        <v>0</v>
      </c>
      <c r="M70" s="34" t="str">
        <f>IFERROR(L70/J70,"")</f>
        <v/>
      </c>
      <c r="O70" s="32">
        <f>SUM(O66:O69)</f>
        <v>0</v>
      </c>
      <c r="P70" s="32">
        <f>SUM(P66:P69)</f>
        <v>0</v>
      </c>
      <c r="Q70" s="32">
        <f>O70-P70</f>
        <v>0</v>
      </c>
      <c r="R70" s="34" t="str">
        <f>IFERROR(Q70/O70,"")</f>
        <v/>
      </c>
      <c r="T70" s="32">
        <f>SUM(T66:T69)</f>
        <v>0</v>
      </c>
      <c r="U70" s="32">
        <f>SUM(U66:U69)</f>
        <v>0</v>
      </c>
      <c r="V70" s="32">
        <f>T70-U70</f>
        <v>0</v>
      </c>
      <c r="W70" s="34" t="str">
        <f>IFERROR(V70/T70,"")</f>
        <v/>
      </c>
      <c r="Y70" s="32">
        <f>SUM(Y66:Y69)</f>
        <v>0</v>
      </c>
      <c r="Z70" s="32">
        <f>SUM(Z66:Z69)</f>
        <v>0</v>
      </c>
      <c r="AA70" s="32">
        <f>Y70-Z70</f>
        <v>0</v>
      </c>
      <c r="AB70" s="34" t="str">
        <f>IFERROR(AA70/Y70,"")</f>
        <v/>
      </c>
      <c r="AD70" s="32">
        <f>SUM(AD66:AD69)</f>
        <v>0</v>
      </c>
      <c r="AE70" s="32">
        <f>SUM(AE66:AE69)</f>
        <v>0</v>
      </c>
      <c r="AF70" s="32">
        <f>AD70-AE70</f>
        <v>0</v>
      </c>
      <c r="AG70" s="34" t="str">
        <f>IFERROR(AF70/AD70,"")</f>
        <v/>
      </c>
      <c r="AI70" s="32">
        <f>SUM(AI66:AI69)</f>
        <v>0</v>
      </c>
      <c r="AJ70" s="32">
        <f>SUM(AJ66:AJ69)</f>
        <v>0</v>
      </c>
      <c r="AK70" s="32">
        <f>AI70-AJ70</f>
        <v>0</v>
      </c>
      <c r="AL70" s="34" t="str">
        <f>IFERROR(AK70/AI70,"")</f>
        <v/>
      </c>
      <c r="AN70" s="32">
        <f>SUM(AN66:AN69)</f>
        <v>0</v>
      </c>
      <c r="AO70" s="32">
        <f>SUM(AO66:AO69)</f>
        <v>0</v>
      </c>
      <c r="AP70" s="32">
        <f>AN70-AO70</f>
        <v>0</v>
      </c>
      <c r="AQ70" s="34" t="str">
        <f>IFERROR(AP70/AN70,"")</f>
        <v/>
      </c>
      <c r="AS70" s="32">
        <f>SUM(AS66:AS69)</f>
        <v>0</v>
      </c>
      <c r="AT70" s="32">
        <f>SUM(AT66:AT69)</f>
        <v>0</v>
      </c>
      <c r="AU70" s="32">
        <f>AS70-AT70</f>
        <v>0</v>
      </c>
      <c r="AV70" s="34" t="str">
        <f>IFERROR(AU70/AS70,"")</f>
        <v/>
      </c>
      <c r="AX70" s="32">
        <f>SUM(AX66:AX69)</f>
        <v>0</v>
      </c>
      <c r="AY70" s="32">
        <f>SUM(AY66:AY69)</f>
        <v>0</v>
      </c>
      <c r="AZ70" s="32">
        <f>AX70-AY70</f>
        <v>0</v>
      </c>
      <c r="BA70" s="34" t="str">
        <f>IFERROR(AZ70/AX70,"")</f>
        <v/>
      </c>
      <c r="BC70" s="32">
        <f>SUM(BC66:BC69)</f>
        <v>0</v>
      </c>
      <c r="BD70" s="32">
        <f>SUM(BD66:BD69)</f>
        <v>0</v>
      </c>
      <c r="BE70" s="32">
        <f>BC70-BD70</f>
        <v>0</v>
      </c>
      <c r="BF70" s="34" t="str">
        <f>IFERROR(BE70/BC70,"")</f>
        <v/>
      </c>
      <c r="BH70" s="32">
        <f>SUM(BH66:BH69)</f>
        <v>0</v>
      </c>
      <c r="BI70" s="32">
        <f>SUM(BI66:BI69)</f>
        <v>0</v>
      </c>
      <c r="BJ70" s="32">
        <f>BH70-BI70</f>
        <v>0</v>
      </c>
      <c r="BK70" s="34" t="str">
        <f>IFERROR(BJ70/BH70,"")</f>
        <v/>
      </c>
      <c r="BM70" s="216">
        <f>SUM(BM63:BM69)</f>
        <v>0</v>
      </c>
      <c r="BN70" s="41">
        <f>SUM(BN63:BN69)</f>
        <v>0</v>
      </c>
      <c r="BO70" s="32">
        <f t="shared" ref="BO70" si="251">BM70-BN70</f>
        <v>0</v>
      </c>
      <c r="BP70" s="34" t="str">
        <f>IFERROR(BO70/BM70,"")</f>
        <v/>
      </c>
    </row>
    <row r="71" spans="2:71" s="44" customFormat="1" x14ac:dyDescent="0.25">
      <c r="B71"/>
      <c r="C71" s="97"/>
      <c r="D71" s="71"/>
      <c r="E71" s="105"/>
      <c r="F71" s="105"/>
      <c r="G71" s="105"/>
      <c r="H71" s="101"/>
      <c r="I71"/>
      <c r="J71" s="105"/>
      <c r="K71" s="105"/>
      <c r="L71" s="105"/>
      <c r="M71" s="101"/>
      <c r="O71" s="105"/>
      <c r="P71" s="105"/>
      <c r="Q71" s="105"/>
      <c r="R71" s="101"/>
      <c r="T71" s="105"/>
      <c r="U71" s="105"/>
      <c r="V71" s="105"/>
      <c r="W71" s="101"/>
      <c r="Y71" s="105"/>
      <c r="Z71" s="105"/>
      <c r="AA71" s="105"/>
      <c r="AB71" s="101"/>
      <c r="AD71" s="105"/>
      <c r="AE71" s="228"/>
      <c r="AF71" s="105"/>
      <c r="AG71" s="101"/>
      <c r="AI71" s="105"/>
      <c r="AJ71" s="105"/>
      <c r="AK71" s="105"/>
      <c r="AL71" s="101"/>
      <c r="AN71" s="105"/>
      <c r="AO71" s="105"/>
      <c r="AP71" s="105"/>
      <c r="AQ71" s="101"/>
      <c r="AS71" s="105"/>
      <c r="AT71" s="105"/>
      <c r="AU71" s="105"/>
      <c r="AV71" s="101"/>
      <c r="AX71" s="105"/>
      <c r="AY71" s="105"/>
      <c r="AZ71" s="105"/>
      <c r="BA71" s="101"/>
      <c r="BC71" s="105"/>
      <c r="BD71" s="105"/>
      <c r="BE71" s="105"/>
      <c r="BF71" s="101"/>
      <c r="BH71" s="105"/>
      <c r="BI71" s="105"/>
      <c r="BJ71" s="105"/>
      <c r="BK71" s="101"/>
      <c r="BM71" s="239"/>
      <c r="BN71" s="228"/>
      <c r="BO71" s="105"/>
      <c r="BP71" s="101"/>
    </row>
    <row r="72" spans="2:71" s="44" customFormat="1" x14ac:dyDescent="0.25">
      <c r="B72">
        <f>+MAX($B$1:B70)+1</f>
        <v>77</v>
      </c>
      <c r="C72" s="15" t="s">
        <v>39</v>
      </c>
      <c r="D72" s="71"/>
      <c r="E72" s="23">
        <f>+_xlfn.XLOOKUP($B72,Expenses_FY25B!$B:$B,Expenses_FY25B!S:S)/1000</f>
        <v>0</v>
      </c>
      <c r="F72" s="25"/>
      <c r="G72" s="8">
        <f t="shared" ref="G72" si="252">E72-F72</f>
        <v>0</v>
      </c>
      <c r="H72" s="33" t="str">
        <f t="shared" ref="H72" si="253">IFERROR(G72/E72,"n.a.")</f>
        <v>n.a.</v>
      </c>
      <c r="J72" s="23">
        <f>+_xlfn.XLOOKUP($B72,Expenses_FY25B!$B:$B,Expenses_FY25B!T:T)/1000</f>
        <v>0</v>
      </c>
      <c r="K72" s="25"/>
      <c r="L72" s="8">
        <f t="shared" ref="L72" si="254">J72-K72</f>
        <v>0</v>
      </c>
      <c r="M72" s="33" t="str">
        <f t="shared" ref="M72" si="255">IFERROR(L72/J72,"n.a.")</f>
        <v>n.a.</v>
      </c>
      <c r="O72" s="23">
        <f>+_xlfn.XLOOKUP($B72,Expenses_FY25B!$B:$B,Expenses_FY25B!U:U)/1000</f>
        <v>0</v>
      </c>
      <c r="P72" s="25"/>
      <c r="Q72" s="8">
        <f t="shared" ref="Q72" si="256">O72-P72</f>
        <v>0</v>
      </c>
      <c r="R72" s="33" t="str">
        <f t="shared" ref="R72" si="257">IFERROR(Q72/O72,"n.a.")</f>
        <v>n.a.</v>
      </c>
      <c r="T72" s="23">
        <f>+_xlfn.XLOOKUP($B72,Expenses_FY25B!$B:$B,Expenses_FY25B!V:V)/1000</f>
        <v>0</v>
      </c>
      <c r="U72" s="25"/>
      <c r="V72" s="8">
        <f t="shared" ref="V72" si="258">T72-U72</f>
        <v>0</v>
      </c>
      <c r="W72" s="33" t="str">
        <f t="shared" ref="W72" si="259">IFERROR(V72/T72,"n.a.")</f>
        <v>n.a.</v>
      </c>
      <c r="Y72" s="23">
        <f>+_xlfn.XLOOKUP($B72,Expenses_FY25B!$B:$B,Expenses_FY25B!W:W)/1000</f>
        <v>0</v>
      </c>
      <c r="Z72" s="25"/>
      <c r="AA72" s="8">
        <f t="shared" ref="AA72" si="260">Y72-Z72</f>
        <v>0</v>
      </c>
      <c r="AB72" s="33" t="str">
        <f t="shared" ref="AB72" si="261">IFERROR(AA72/Y72,"n.a.")</f>
        <v>n.a.</v>
      </c>
      <c r="AD72" s="23">
        <f>+_xlfn.XLOOKUP($B72,Expenses_FY25B!$B:$B,Expenses_FY25B!X:X)/1000</f>
        <v>0</v>
      </c>
      <c r="AE72" s="25"/>
      <c r="AF72" s="8">
        <f t="shared" ref="AF72" si="262">AD72-AE72</f>
        <v>0</v>
      </c>
      <c r="AG72" s="33" t="str">
        <f t="shared" ref="AG72" si="263">IFERROR(AF72/AD72,"n.a.")</f>
        <v>n.a.</v>
      </c>
      <c r="AI72" s="23">
        <f>+_xlfn.XLOOKUP($B72,Expenses_FY25B!$B:$B,Expenses_FY25B!Y:Y)/1000</f>
        <v>0</v>
      </c>
      <c r="AJ72" s="25"/>
      <c r="AK72" s="8">
        <f t="shared" ref="AK72" si="264">AI72-AJ72</f>
        <v>0</v>
      </c>
      <c r="AL72" s="33" t="str">
        <f t="shared" ref="AL72" si="265">IFERROR(AK72/AI72,"n.a.")</f>
        <v>n.a.</v>
      </c>
      <c r="AN72" s="23">
        <f>+_xlfn.XLOOKUP($B72,Expenses_FY25B!$B:$B,Expenses_FY25B!Z:Z)/1000</f>
        <v>0</v>
      </c>
      <c r="AO72" s="25"/>
      <c r="AP72" s="8">
        <f t="shared" ref="AP72" si="266">AN72-AO72</f>
        <v>0</v>
      </c>
      <c r="AQ72" s="33" t="str">
        <f t="shared" ref="AQ72" si="267">IFERROR(AP72/AN72,"n.a.")</f>
        <v>n.a.</v>
      </c>
      <c r="AS72" s="23">
        <f>+_xlfn.XLOOKUP($B72,Expenses_FY25B!$B:$B,Expenses_FY25B!AA:AA)/1000</f>
        <v>0</v>
      </c>
      <c r="AT72" s="25"/>
      <c r="AU72" s="8">
        <f t="shared" ref="AU72" si="268">AS72-AT72</f>
        <v>0</v>
      </c>
      <c r="AV72" s="33" t="str">
        <f t="shared" ref="AV72" si="269">IFERROR(AU72/AS72,"n.a.")</f>
        <v>n.a.</v>
      </c>
      <c r="AX72" s="23">
        <f>+_xlfn.XLOOKUP($B72,Expenses_FY25B!$B:$B,Expenses_FY25B!AB:AB)/1000</f>
        <v>0</v>
      </c>
      <c r="AY72" s="25"/>
      <c r="AZ72" s="8">
        <f t="shared" ref="AZ72" si="270">AX72-AY72</f>
        <v>0</v>
      </c>
      <c r="BA72" s="33" t="str">
        <f t="shared" ref="BA72" si="271">IFERROR(AZ72/AX72,"n.a.")</f>
        <v>n.a.</v>
      </c>
      <c r="BC72" s="23">
        <f>+_xlfn.XLOOKUP($B72,Expenses_FY25B!$B:$B,Expenses_FY25B!AC:AC)/1000</f>
        <v>0</v>
      </c>
      <c r="BD72" s="25"/>
      <c r="BE72" s="8">
        <f t="shared" ref="BE72" si="272">BC72-BD72</f>
        <v>0</v>
      </c>
      <c r="BF72" s="33" t="str">
        <f t="shared" ref="BF72" si="273">IFERROR(BE72/BC72,"n.a.")</f>
        <v>n.a.</v>
      </c>
      <c r="BH72" s="23">
        <f>+_xlfn.XLOOKUP($B72,Expenses_FY25B!$B:$B,Expenses_FY25B!AD:AD)/1000</f>
        <v>0</v>
      </c>
      <c r="BI72" s="25"/>
      <c r="BJ72" s="8">
        <f t="shared" ref="BJ72" si="274">BH72-BI72</f>
        <v>0</v>
      </c>
      <c r="BK72" s="33" t="str">
        <f t="shared" ref="BK72" si="275">IFERROR(BJ72/BH72,"n.a.")</f>
        <v>n.a.</v>
      </c>
      <c r="BM72" s="38">
        <f t="shared" ref="BM72" si="276">+E72+J72+O72+T72+Y72+AD72+AI72+AN72+AS72+AX72+BC72+BH72</f>
        <v>0</v>
      </c>
      <c r="BN72" s="38">
        <f t="shared" ref="BN72" si="277">+F72+K72+P72+U72+Z72+AE72+AJ72+AO72+AT72+AY72+BD72+BI72</f>
        <v>0</v>
      </c>
      <c r="BO72" s="8">
        <f t="shared" ref="BO72" si="278">BM72-BN72</f>
        <v>0</v>
      </c>
      <c r="BP72" s="33" t="str">
        <f t="shared" ref="BP72" si="279">IFERROR(BO72/BM72,"n.a.")</f>
        <v>n.a.</v>
      </c>
    </row>
    <row r="73" spans="2:71" s="44" customFormat="1" x14ac:dyDescent="0.25">
      <c r="B73">
        <f>+MAX($B$1:B72)+1</f>
        <v>78</v>
      </c>
      <c r="C73" s="15" t="s">
        <v>83</v>
      </c>
      <c r="D73" s="71"/>
      <c r="E73" s="23">
        <f>+_xlfn.XLOOKUP($B73,Expenses_FY25B!$B:$B,Expenses_FY25B!S:S)/1000</f>
        <v>0</v>
      </c>
      <c r="F73" s="25"/>
      <c r="G73" s="8">
        <f t="shared" ref="G73" si="280">E73-F73</f>
        <v>0</v>
      </c>
      <c r="H73" s="33" t="str">
        <f t="shared" ref="H73" si="281">IFERROR(G73/E73,"n.a.")</f>
        <v>n.a.</v>
      </c>
      <c r="J73" s="23">
        <f>+_xlfn.XLOOKUP($B73,Expenses_FY25B!$B:$B,Expenses_FY25B!T:T)/1000</f>
        <v>0</v>
      </c>
      <c r="K73" s="25"/>
      <c r="L73" s="8">
        <f t="shared" ref="L73" si="282">J73-K73</f>
        <v>0</v>
      </c>
      <c r="M73" s="33" t="str">
        <f t="shared" ref="M73" si="283">IFERROR(L73/J73,"n.a.")</f>
        <v>n.a.</v>
      </c>
      <c r="O73" s="23">
        <f>+_xlfn.XLOOKUP($B73,Expenses_FY25B!$B:$B,Expenses_FY25B!U:U)/1000</f>
        <v>0</v>
      </c>
      <c r="P73" s="25"/>
      <c r="Q73" s="8">
        <f t="shared" ref="Q73" si="284">O73-P73</f>
        <v>0</v>
      </c>
      <c r="R73" s="33" t="str">
        <f t="shared" ref="R73" si="285">IFERROR(Q73/O73,"n.a.")</f>
        <v>n.a.</v>
      </c>
      <c r="T73" s="23">
        <f>+_xlfn.XLOOKUP($B73,Expenses_FY25B!$B:$B,Expenses_FY25B!V:V)/1000</f>
        <v>0</v>
      </c>
      <c r="U73" s="25"/>
      <c r="V73" s="8">
        <f t="shared" ref="V73" si="286">T73-U73</f>
        <v>0</v>
      </c>
      <c r="W73" s="33" t="str">
        <f t="shared" ref="W73" si="287">IFERROR(V73/T73,"n.a.")</f>
        <v>n.a.</v>
      </c>
      <c r="Y73" s="23">
        <f>+_xlfn.XLOOKUP($B73,Expenses_FY25B!$B:$B,Expenses_FY25B!W:W)/1000</f>
        <v>0</v>
      </c>
      <c r="Z73" s="25"/>
      <c r="AA73" s="8">
        <f t="shared" ref="AA73" si="288">Y73-Z73</f>
        <v>0</v>
      </c>
      <c r="AB73" s="33" t="str">
        <f t="shared" ref="AB73" si="289">IFERROR(AA73/Y73,"n.a.")</f>
        <v>n.a.</v>
      </c>
      <c r="AD73" s="23">
        <f>+_xlfn.XLOOKUP($B73,Expenses_FY25B!$B:$B,Expenses_FY25B!X:X)/1000</f>
        <v>0</v>
      </c>
      <c r="AE73" s="25"/>
      <c r="AF73" s="8">
        <f t="shared" ref="AF73" si="290">AD73-AE73</f>
        <v>0</v>
      </c>
      <c r="AG73" s="33" t="str">
        <f t="shared" ref="AG73" si="291">IFERROR(AF73/AD73,"n.a.")</f>
        <v>n.a.</v>
      </c>
      <c r="AI73" s="23">
        <f>+_xlfn.XLOOKUP($B73,Expenses_FY25B!$B:$B,Expenses_FY25B!Y:Y)/1000</f>
        <v>0</v>
      </c>
      <c r="AJ73" s="25"/>
      <c r="AK73" s="8">
        <f t="shared" ref="AK73" si="292">AI73-AJ73</f>
        <v>0</v>
      </c>
      <c r="AL73" s="33" t="str">
        <f t="shared" ref="AL73" si="293">IFERROR(AK73/AI73,"n.a.")</f>
        <v>n.a.</v>
      </c>
      <c r="AN73" s="23">
        <f>+_xlfn.XLOOKUP($B73,Expenses_FY25B!$B:$B,Expenses_FY25B!Z:Z)/1000</f>
        <v>0</v>
      </c>
      <c r="AO73" s="25"/>
      <c r="AP73" s="8">
        <f t="shared" ref="AP73" si="294">AN73-AO73</f>
        <v>0</v>
      </c>
      <c r="AQ73" s="33" t="str">
        <f t="shared" ref="AQ73" si="295">IFERROR(AP73/AN73,"n.a.")</f>
        <v>n.a.</v>
      </c>
      <c r="AS73" s="23">
        <f>+_xlfn.XLOOKUP($B73,Expenses_FY25B!$B:$B,Expenses_FY25B!AA:AA)/1000</f>
        <v>0</v>
      </c>
      <c r="AT73" s="25"/>
      <c r="AU73" s="8">
        <f t="shared" ref="AU73" si="296">AS73-AT73</f>
        <v>0</v>
      </c>
      <c r="AV73" s="33" t="str">
        <f t="shared" ref="AV73" si="297">IFERROR(AU73/AS73,"n.a.")</f>
        <v>n.a.</v>
      </c>
      <c r="AX73" s="23">
        <f>+_xlfn.XLOOKUP($B73,Expenses_FY25B!$B:$B,Expenses_FY25B!AB:AB)/1000</f>
        <v>0</v>
      </c>
      <c r="AY73" s="25"/>
      <c r="AZ73" s="8">
        <f t="shared" ref="AZ73" si="298">AX73-AY73</f>
        <v>0</v>
      </c>
      <c r="BA73" s="33" t="str">
        <f t="shared" ref="BA73" si="299">IFERROR(AZ73/AX73,"n.a.")</f>
        <v>n.a.</v>
      </c>
      <c r="BC73" s="23">
        <f>+_xlfn.XLOOKUP($B73,Expenses_FY25B!$B:$B,Expenses_FY25B!AC:AC)/1000</f>
        <v>0</v>
      </c>
      <c r="BD73" s="25"/>
      <c r="BE73" s="8">
        <f t="shared" ref="BE73" si="300">BC73-BD73</f>
        <v>0</v>
      </c>
      <c r="BF73" s="33" t="str">
        <f t="shared" ref="BF73" si="301">IFERROR(BE73/BC73,"n.a.")</f>
        <v>n.a.</v>
      </c>
      <c r="BH73" s="23">
        <f>+_xlfn.XLOOKUP($B73,Expenses_FY25B!$B:$B,Expenses_FY25B!AD:AD)/1000</f>
        <v>0</v>
      </c>
      <c r="BI73" s="25"/>
      <c r="BJ73" s="8">
        <f t="shared" ref="BJ73" si="302">BH73-BI73</f>
        <v>0</v>
      </c>
      <c r="BK73" s="33" t="str">
        <f t="shared" ref="BK73" si="303">IFERROR(BJ73/BH73,"n.a.")</f>
        <v>n.a.</v>
      </c>
      <c r="BM73" s="38">
        <f t="shared" ref="BM73" si="304">+E73+J73+O73+T73+Y73+AD73+AI73+AN73+AS73+AX73+BC73+BH73</f>
        <v>0</v>
      </c>
      <c r="BN73" s="38">
        <f t="shared" ref="BN73" si="305">+F73+K73+P73+U73+Z73+AE73+AJ73+AO73+AT73+AY73+BD73+BI73</f>
        <v>0</v>
      </c>
      <c r="BO73" s="8">
        <f t="shared" ref="BO73" si="306">BM73-BN73</f>
        <v>0</v>
      </c>
      <c r="BP73" s="33" t="str">
        <f t="shared" ref="BP73" si="307">IFERROR(BO73/BM73,"n.a.")</f>
        <v>n.a.</v>
      </c>
    </row>
    <row r="74" spans="2:71" s="44" customFormat="1" ht="15.75" thickBot="1" x14ac:dyDescent="0.3">
      <c r="C74" s="97" t="s">
        <v>110</v>
      </c>
      <c r="D74" s="72">
        <v>86556.076569341662</v>
      </c>
      <c r="E74" s="30">
        <f>SUM(E60,E70,E72:E73)</f>
        <v>0</v>
      </c>
      <c r="F74" s="30">
        <f>SUM(F60,F70,F72:F73)</f>
        <v>0</v>
      </c>
      <c r="G74" s="30">
        <f t="shared" si="194"/>
        <v>0</v>
      </c>
      <c r="H74" s="37" t="str">
        <f>IFERROR(G74/E74,"")</f>
        <v/>
      </c>
      <c r="I74"/>
      <c r="J74" s="30">
        <f>SUM(J60,J70,J72:J73)</f>
        <v>0</v>
      </c>
      <c r="K74" s="30">
        <f>SUM(K60,K70,K72:K73)</f>
        <v>0</v>
      </c>
      <c r="L74" s="30">
        <f t="shared" si="196"/>
        <v>0</v>
      </c>
      <c r="M74" s="37" t="str">
        <f>IFERROR(L74/J74,"")</f>
        <v/>
      </c>
      <c r="O74" s="30">
        <f>SUM(O60,O70,O72:O73)</f>
        <v>0</v>
      </c>
      <c r="P74" s="30">
        <f>SUM(P60,P70,P72:P73)</f>
        <v>0</v>
      </c>
      <c r="Q74" s="30">
        <f t="shared" si="198"/>
        <v>0</v>
      </c>
      <c r="R74" s="37" t="str">
        <f>IFERROR(Q74/O74,"")</f>
        <v/>
      </c>
      <c r="T74" s="30">
        <f>SUM(T60,T70,T72:T73)</f>
        <v>0</v>
      </c>
      <c r="U74" s="30">
        <f>SUM(U60,U70,U72:U73)</f>
        <v>0</v>
      </c>
      <c r="V74" s="30">
        <f t="shared" si="200"/>
        <v>0</v>
      </c>
      <c r="W74" s="37" t="str">
        <f>IFERROR(V74/T74,"")</f>
        <v/>
      </c>
      <c r="Y74" s="30">
        <f>SUM(Y60,Y70,Y72:Y73)</f>
        <v>0</v>
      </c>
      <c r="Z74" s="30">
        <f>SUM(Z60,Z70,Z72:Z73)</f>
        <v>0</v>
      </c>
      <c r="AA74" s="30">
        <f t="shared" si="202"/>
        <v>0</v>
      </c>
      <c r="AB74" s="37" t="str">
        <f>IFERROR(AA74/Y74,"")</f>
        <v/>
      </c>
      <c r="AD74" s="30">
        <f>SUM(AD60,AD70,AD72:AD73)</f>
        <v>0</v>
      </c>
      <c r="AE74" s="30">
        <f>SUM(AE60,AE70,AE72:AE73)</f>
        <v>0</v>
      </c>
      <c r="AF74" s="30">
        <f t="shared" si="204"/>
        <v>0</v>
      </c>
      <c r="AG74" s="37" t="str">
        <f>IFERROR(AF74/AD74,"")</f>
        <v/>
      </c>
      <c r="AI74" s="30">
        <f>SUM(AI60,AI70,AI72:AI73)</f>
        <v>0</v>
      </c>
      <c r="AJ74" s="30">
        <f>SUM(AJ60,AJ70,AJ72:AJ73)</f>
        <v>0</v>
      </c>
      <c r="AK74" s="30">
        <f t="shared" si="206"/>
        <v>0</v>
      </c>
      <c r="AL74" s="37" t="str">
        <f>IFERROR(AK74/AI74,"")</f>
        <v/>
      </c>
      <c r="AN74" s="30">
        <f>SUM(AN60,AN70,AN72:AN73)</f>
        <v>0</v>
      </c>
      <c r="AO74" s="30">
        <f>SUM(AO60,AO70,AO72:AO73)</f>
        <v>0</v>
      </c>
      <c r="AP74" s="30">
        <f t="shared" si="208"/>
        <v>0</v>
      </c>
      <c r="AQ74" s="37" t="str">
        <f>IFERROR(AP74/AN74,"")</f>
        <v/>
      </c>
      <c r="AS74" s="30">
        <f>SUM(AS60,AS70,AS72:AS73)</f>
        <v>0</v>
      </c>
      <c r="AT74" s="30">
        <f>SUM(AT60,AT70,AT72:AT73)</f>
        <v>0</v>
      </c>
      <c r="AU74" s="30">
        <f t="shared" si="210"/>
        <v>0</v>
      </c>
      <c r="AV74" s="37" t="str">
        <f>IFERROR(AU74/AS74,"")</f>
        <v/>
      </c>
      <c r="AX74" s="30">
        <f>SUM(AX60,AX70,AX72:AX73)</f>
        <v>0</v>
      </c>
      <c r="AY74" s="30">
        <f>SUM(AY60,AY70,AY72:AY73)</f>
        <v>0</v>
      </c>
      <c r="AZ74" s="30">
        <f t="shared" si="212"/>
        <v>0</v>
      </c>
      <c r="BA74" s="37" t="str">
        <f>IFERROR(AZ74/AX74,"")</f>
        <v/>
      </c>
      <c r="BC74" s="30">
        <f>SUM(BC60,BC70,BC72:BC73)</f>
        <v>0</v>
      </c>
      <c r="BD74" s="30">
        <f>SUM(BD60,BD70,BD72:BD73)</f>
        <v>0</v>
      </c>
      <c r="BE74" s="30">
        <f t="shared" si="214"/>
        <v>0</v>
      </c>
      <c r="BF74" s="37" t="str">
        <f>IFERROR(BE74/BC74,"")</f>
        <v/>
      </c>
      <c r="BH74" s="30">
        <f>SUM(BH60,BH70,BH72:BH73)</f>
        <v>0</v>
      </c>
      <c r="BI74" s="30">
        <f>SUM(BI60,BI70,BI72:BI73)</f>
        <v>0</v>
      </c>
      <c r="BJ74" s="30">
        <f t="shared" si="216"/>
        <v>0</v>
      </c>
      <c r="BK74" s="37" t="str">
        <f>IFERROR(BJ74/BH74,"")</f>
        <v/>
      </c>
      <c r="BM74" s="238">
        <f>SUM(BM60,BM70,BM72:BM73)</f>
        <v>0</v>
      </c>
      <c r="BN74" s="30">
        <f>SUM(BN60,BN70,BN72:BN73)</f>
        <v>0</v>
      </c>
      <c r="BO74" s="30">
        <f t="shared" si="220"/>
        <v>0</v>
      </c>
      <c r="BP74" s="37" t="str">
        <f>IFERROR(BO74/BM74,"")</f>
        <v/>
      </c>
      <c r="BR74" s="193"/>
    </row>
    <row r="75" spans="2:71" s="44" customFormat="1" ht="15.75" thickTop="1" x14ac:dyDescent="0.25">
      <c r="C75" s="75"/>
      <c r="D75" s="71"/>
      <c r="E75"/>
      <c r="F75"/>
      <c r="G75"/>
      <c r="H75"/>
      <c r="I75"/>
      <c r="J75"/>
      <c r="K75"/>
      <c r="L75"/>
      <c r="M75"/>
      <c r="O75"/>
      <c r="P75"/>
      <c r="Q75"/>
      <c r="R75"/>
      <c r="T75"/>
      <c r="U75"/>
      <c r="V75"/>
      <c r="W75"/>
      <c r="Y75"/>
      <c r="Z75"/>
      <c r="AA75"/>
      <c r="AB75"/>
      <c r="AD75"/>
      <c r="AE75"/>
      <c r="AF75"/>
      <c r="AG75"/>
      <c r="AI75"/>
      <c r="AJ75"/>
      <c r="AK75"/>
      <c r="AL75"/>
      <c r="AN75"/>
      <c r="AO75"/>
      <c r="AP75"/>
      <c r="AQ75"/>
      <c r="AS75"/>
      <c r="AT75"/>
      <c r="AU75"/>
      <c r="AV75"/>
      <c r="AX75"/>
      <c r="AY75"/>
      <c r="AZ75"/>
      <c r="BA75"/>
      <c r="BC75"/>
      <c r="BD75"/>
      <c r="BE75"/>
      <c r="BF75"/>
      <c r="BH75"/>
      <c r="BI75"/>
      <c r="BJ75"/>
      <c r="BK75"/>
      <c r="BM75" s="100"/>
      <c r="BN75"/>
      <c r="BO75"/>
      <c r="BP75"/>
    </row>
    <row r="76" spans="2:71" ht="15.75" x14ac:dyDescent="0.25">
      <c r="B76" s="70" t="s">
        <v>111</v>
      </c>
      <c r="C76" s="96" t="s">
        <v>256</v>
      </c>
      <c r="D76" s="42"/>
      <c r="BM76" s="100"/>
    </row>
    <row r="77" spans="2:71" x14ac:dyDescent="0.25">
      <c r="B77">
        <f>+MAX($B$1:B76)+1</f>
        <v>79</v>
      </c>
      <c r="C77" s="15" t="s">
        <v>112</v>
      </c>
      <c r="D77" s="42"/>
      <c r="E77" s="23">
        <v>21.323861920000002</v>
      </c>
      <c r="F77" s="25">
        <f>25.3484519</f>
        <v>25.348451900000001</v>
      </c>
      <c r="G77" s="8">
        <f t="shared" ref="G77:G81" si="308">E77-F77</f>
        <v>-4.0245899799999982</v>
      </c>
      <c r="H77" s="33">
        <f t="shared" ref="H77:H80" si="309">IFERROR(G77/E77,"n.a.")</f>
        <v>-0.18873644910565046</v>
      </c>
      <c r="J77" s="23">
        <f>+_xlfn.XLOOKUP($B77,Expenses_FY25B!$B:$B,Expenses_FY25B!T:T)/1000</f>
        <v>17.973274102360001</v>
      </c>
      <c r="K77" s="25">
        <v>35.123098880000001</v>
      </c>
      <c r="L77" s="8">
        <f t="shared" ref="L77:L81" si="310">J77-K77</f>
        <v>-17.149824777639999</v>
      </c>
      <c r="M77" s="33">
        <f t="shared" ref="M77:M80" si="311">IFERROR(L77/J77,"n.a.")</f>
        <v>-0.95418479014839719</v>
      </c>
      <c r="O77" s="23">
        <f>+_xlfn.XLOOKUP($B77,Expenses_FY25B!$B:$B,Expenses_FY25B!U:U)/1000</f>
        <v>19.650622672060006</v>
      </c>
      <c r="P77" s="25">
        <v>28.020692580000002</v>
      </c>
      <c r="Q77" s="8">
        <f t="shared" ref="Q77:Q81" si="312">O77-P77</f>
        <v>-8.3700699079399961</v>
      </c>
      <c r="R77" s="33">
        <f t="shared" ref="R77:R80" si="313">IFERROR(Q77/O77,"n.a.")</f>
        <v>-0.42594425874559566</v>
      </c>
      <c r="T77" s="23">
        <f>+_xlfn.XLOOKUP($B77,Expenses_FY25B!$B:$B,Expenses_FY25B!V:V)/1000</f>
        <v>18.894853718859995</v>
      </c>
      <c r="U77" s="25">
        <v>30.834288369999996</v>
      </c>
      <c r="V77" s="8">
        <f t="shared" ref="V77:V81" si="314">T77-U77</f>
        <v>-11.939434651140001</v>
      </c>
      <c r="W77" s="33">
        <f t="shared" ref="W77:W80" si="315">IFERROR(V77/T77,"n.a.")</f>
        <v>-0.63188817594404523</v>
      </c>
      <c r="Y77" s="23">
        <f>+_xlfn.XLOOKUP($B77,Expenses_FY25B!$B:$B,Expenses_FY25B!W:W)/1000</f>
        <v>22.740513759860001</v>
      </c>
      <c r="Z77" s="25">
        <v>17.69810236</v>
      </c>
      <c r="AA77" s="8">
        <f t="shared" ref="AA77:AA81" si="316">Y77-Z77</f>
        <v>5.0424113998600006</v>
      </c>
      <c r="AB77" s="33">
        <f t="shared" ref="AB77:AB80" si="317">IFERROR(AA77/Y77,"n.a.")</f>
        <v>0.22173691646142668</v>
      </c>
      <c r="AD77" s="23">
        <f>+_xlfn.XLOOKUP($B77,Expenses_FY25B!$B:$B,Expenses_FY25B!X:X)/1000</f>
        <v>23.06713346686</v>
      </c>
      <c r="AE77" s="25">
        <v>28.133516660000005</v>
      </c>
      <c r="AF77" s="8">
        <f t="shared" ref="AF77:AF81" si="318">AD77-AE77</f>
        <v>-5.0663831931400054</v>
      </c>
      <c r="AG77" s="33">
        <f t="shared" ref="AG77:AG80" si="319">IFERROR(AF77/AD77,"n.a.")</f>
        <v>-0.21963644509270114</v>
      </c>
      <c r="AI77" s="23">
        <f>+_xlfn.XLOOKUP($B77,Expenses_FY25B!$B:$B,Expenses_FY25B!Y:Y)/1000</f>
        <v>24.869447206360004</v>
      </c>
      <c r="AJ77" s="25">
        <v>16.374588370000001</v>
      </c>
      <c r="AK77" s="8">
        <f t="shared" ref="AK77:AK81" si="320">AI77-AJ77</f>
        <v>8.4948588363600024</v>
      </c>
      <c r="AL77" s="33">
        <f t="shared" ref="AL77:AL80" si="321">IFERROR(AK77/AI77,"n.a.")</f>
        <v>0.34157811252787174</v>
      </c>
      <c r="AN77" s="23">
        <f>+_xlfn.XLOOKUP($B77,Expenses_FY25B!$B:$B,Expenses_FY25B!Z:Z)/1000</f>
        <v>24.816072206360005</v>
      </c>
      <c r="AO77" s="25">
        <v>16.473725330000001</v>
      </c>
      <c r="AP77" s="8">
        <f t="shared" ref="AP77:AP81" si="322">AN77-AO77</f>
        <v>8.3423468763600042</v>
      </c>
      <c r="AQ77" s="33">
        <f t="shared" ref="AQ77:AQ80" si="323">IFERROR(AP77/AN77,"n.a.")</f>
        <v>0.33616709392963401</v>
      </c>
      <c r="AS77" s="23">
        <f>+_xlfn.XLOOKUP($B77,Expenses_FY25B!$B:$B,Expenses_FY25B!AA:AA)/1000</f>
        <v>24.566472256360001</v>
      </c>
      <c r="AT77" s="25">
        <v>23.50052745</v>
      </c>
      <c r="AU77" s="8">
        <f t="shared" ref="AU77:AU81" si="324">AS77-AT77</f>
        <v>1.065944806360001</v>
      </c>
      <c r="AV77" s="33">
        <f t="shared" ref="AV77:AV80" si="325">IFERROR(AU77/AS77,"n.a.")</f>
        <v>4.3390226941682243E-2</v>
      </c>
      <c r="AX77" s="23">
        <f>+_xlfn.XLOOKUP($B77,Expenses_FY25B!$B:$B,Expenses_FY25B!AB:AB)/1000</f>
        <v>24.000528206359999</v>
      </c>
      <c r="AY77" s="25">
        <v>12.5</v>
      </c>
      <c r="AZ77" s="8">
        <f t="shared" ref="AZ77:AZ81" si="326">AX77-AY77</f>
        <v>11.500528206359999</v>
      </c>
      <c r="BA77" s="33">
        <f t="shared" ref="BA77:BA80" si="327">IFERROR(AZ77/AX77,"n.a.")</f>
        <v>0.47917812922602371</v>
      </c>
      <c r="BC77" s="23">
        <f>+_xlfn.XLOOKUP($B77,Expenses_FY25B!$B:$B,Expenses_FY25B!AC:AC)/1000</f>
        <v>22.286125206360001</v>
      </c>
      <c r="BD77" s="25">
        <v>20</v>
      </c>
      <c r="BE77" s="8">
        <f t="shared" ref="BE77:BE81" si="328">BC77-BD77</f>
        <v>2.2861252063600013</v>
      </c>
      <c r="BF77" s="33">
        <f t="shared" ref="BF77:BF80" si="329">IFERROR(BE77/BC77,"n.a.")</f>
        <v>0.10258064985238385</v>
      </c>
      <c r="BH77" s="23">
        <f>+_xlfn.XLOOKUP($B77,Expenses_FY25B!$B:$B,Expenses_FY25B!AD:AD)/1000</f>
        <v>36.216949850000006</v>
      </c>
      <c r="BI77" s="25">
        <v>31.9</v>
      </c>
      <c r="BJ77" s="8">
        <f t="shared" ref="BJ77:BJ81" si="330">BH77-BI77</f>
        <v>4.3169498500000074</v>
      </c>
      <c r="BK77" s="33">
        <f t="shared" ref="BK77:BK80" si="331">IFERROR(BJ77/BH77,"n.a.")</f>
        <v>0.11919694695106983</v>
      </c>
      <c r="BM77" s="38">
        <f>+E77+J77+O77+T77+Y77+AD77+AI77+AN77+AS77+AX77+BC77+BH77</f>
        <v>280.40585457179998</v>
      </c>
      <c r="BN77" s="38">
        <f>+F77+K77+P77+U77+Z77+AE77+AJ77+AO77+AT77+AY77+BD77+BI77</f>
        <v>285.90699189999998</v>
      </c>
      <c r="BO77" s="8">
        <f t="shared" ref="BO77:BO81" si="332">BM77-BN77</f>
        <v>-5.5011373282000022</v>
      </c>
      <c r="BP77" s="33">
        <f t="shared" ref="BP77:BP80" si="333">IFERROR(BO77/BM77,"n.a.")</f>
        <v>-1.9618482419351182E-2</v>
      </c>
    </row>
    <row r="78" spans="2:71" x14ac:dyDescent="0.25">
      <c r="B78">
        <f>+MAX($B$1:B77)+1</f>
        <v>80</v>
      </c>
      <c r="C78" s="15" t="s">
        <v>113</v>
      </c>
      <c r="E78" s="23">
        <f>+_xlfn.XLOOKUP($B78,Expenses_FY25B!$B:$B,Expenses_FY25B!S:S)/1000</f>
        <v>24.183393666385395</v>
      </c>
      <c r="F78" s="25">
        <v>24.147676000000011</v>
      </c>
      <c r="G78" s="8">
        <f t="shared" si="308"/>
        <v>3.5717666385384206E-2</v>
      </c>
      <c r="H78" s="33">
        <f t="shared" si="309"/>
        <v>1.4769501285930478E-3</v>
      </c>
      <c r="J78" s="23">
        <f>+_xlfn.XLOOKUP($B78,Expenses_FY25B!$B:$B,Expenses_FY25B!T:T)/1000</f>
        <v>23.070604682385394</v>
      </c>
      <c r="K78" s="25">
        <v>32.67992816000001</v>
      </c>
      <c r="L78" s="8">
        <f t="shared" si="310"/>
        <v>-9.6093234776146161</v>
      </c>
      <c r="M78" s="33">
        <f t="shared" si="311"/>
        <v>-0.41651805879849424</v>
      </c>
      <c r="O78" s="23">
        <f>+_xlfn.XLOOKUP($B78,Expenses_FY25B!$B:$B,Expenses_FY25B!U:U)/1000</f>
        <v>24.306191982385396</v>
      </c>
      <c r="P78" s="25">
        <v>17.278721840000003</v>
      </c>
      <c r="Q78" s="8">
        <f t="shared" si="312"/>
        <v>7.0274701423853934</v>
      </c>
      <c r="R78" s="33">
        <f t="shared" si="313"/>
        <v>0.28912262963602747</v>
      </c>
      <c r="T78" s="23">
        <f>+_xlfn.XLOOKUP($B78,Expenses_FY25B!$B:$B,Expenses_FY25B!V:V)/1000</f>
        <v>22.969353682385396</v>
      </c>
      <c r="U78" s="25">
        <v>18.211014260000006</v>
      </c>
      <c r="V78" s="8">
        <f t="shared" si="314"/>
        <v>4.7583394223853901</v>
      </c>
      <c r="W78" s="33">
        <f t="shared" si="315"/>
        <v>0.20716035323337972</v>
      </c>
      <c r="Y78" s="23">
        <f>+_xlfn.XLOOKUP($B78,Expenses_FY25B!$B:$B,Expenses_FY25B!W:W)/1000</f>
        <v>23.766368682385394</v>
      </c>
      <c r="Z78" s="25">
        <v>24.325473280000001</v>
      </c>
      <c r="AA78" s="8">
        <f t="shared" si="316"/>
        <v>-0.55910459761460629</v>
      </c>
      <c r="AB78" s="33">
        <f t="shared" si="317"/>
        <v>-2.3525032582238384E-2</v>
      </c>
      <c r="AD78" s="23">
        <f>+_xlfn.XLOOKUP($B78,Expenses_FY25B!$B:$B,Expenses_FY25B!X:X)/1000</f>
        <v>24.781039382385391</v>
      </c>
      <c r="AE78" s="25">
        <v>24.269298590000005</v>
      </c>
      <c r="AF78" s="8">
        <f t="shared" si="318"/>
        <v>0.51174079238538539</v>
      </c>
      <c r="AG78" s="33">
        <f t="shared" si="319"/>
        <v>2.0650497523083549E-2</v>
      </c>
      <c r="AI78" s="23">
        <f>+_xlfn.XLOOKUP($B78,Expenses_FY25B!$B:$B,Expenses_FY25B!Y:Y)/1000</f>
        <v>24.064778682385391</v>
      </c>
      <c r="AJ78" s="25">
        <v>27.746987350000005</v>
      </c>
      <c r="AK78" s="8">
        <f t="shared" si="320"/>
        <v>-3.6822086676146135</v>
      </c>
      <c r="AL78" s="33">
        <f t="shared" si="321"/>
        <v>-0.15301236367944934</v>
      </c>
      <c r="AN78" s="23">
        <f>+_xlfn.XLOOKUP($B78,Expenses_FY25B!$B:$B,Expenses_FY25B!Z:Z)/1000</f>
        <v>23.943111082385393</v>
      </c>
      <c r="AO78" s="25">
        <v>25.039622549999997</v>
      </c>
      <c r="AP78" s="8">
        <f t="shared" si="322"/>
        <v>-1.0965114676146044</v>
      </c>
      <c r="AQ78" s="33">
        <f t="shared" si="323"/>
        <v>-4.5796532616068107E-2</v>
      </c>
      <c r="AS78" s="23">
        <f>+_xlfn.XLOOKUP($B78,Expenses_FY25B!$B:$B,Expenses_FY25B!AA:AA)/1000</f>
        <v>24.080272982385399</v>
      </c>
      <c r="AT78" s="25">
        <v>17.953820730000004</v>
      </c>
      <c r="AU78" s="8">
        <f t="shared" si="324"/>
        <v>6.1264522523853948</v>
      </c>
      <c r="AV78" s="33">
        <f t="shared" si="325"/>
        <v>0.2544178903979562</v>
      </c>
      <c r="AX78" s="23">
        <f>+_xlfn.XLOOKUP($B78,Expenses_FY25B!$B:$B,Expenses_FY25B!AB:AB)/1000</f>
        <v>24.224913113999989</v>
      </c>
      <c r="AY78" s="25">
        <v>17.400000000000002</v>
      </c>
      <c r="AZ78" s="8">
        <f t="shared" si="326"/>
        <v>6.8249131139999868</v>
      </c>
      <c r="BA78" s="33">
        <f t="shared" si="327"/>
        <v>0.28173116996881009</v>
      </c>
      <c r="BC78" s="23">
        <f>+_xlfn.XLOOKUP($B78,Expenses_FY25B!$B:$B,Expenses_FY25B!AC:AC)/1000</f>
        <v>23.999981447999996</v>
      </c>
      <c r="BD78" s="25">
        <v>23.800000000000004</v>
      </c>
      <c r="BE78" s="8">
        <f t="shared" si="328"/>
        <v>0.19998144799999196</v>
      </c>
      <c r="BF78" s="33">
        <f t="shared" si="329"/>
        <v>8.3325667744071161E-3</v>
      </c>
      <c r="BH78" s="23">
        <f>+_xlfn.XLOOKUP($B78,Expenses_FY25B!$B:$B,Expenses_FY25B!AD:AD)/1000</f>
        <v>12.48126982</v>
      </c>
      <c r="BI78" s="25">
        <v>28</v>
      </c>
      <c r="BJ78" s="8">
        <f t="shared" si="330"/>
        <v>-15.51873018</v>
      </c>
      <c r="BK78" s="33">
        <f t="shared" si="331"/>
        <v>-1.2433614851537598</v>
      </c>
      <c r="BM78" s="38">
        <f t="shared" ref="BM78:BM80" si="334">+E78+J78+O78+T78+Y78+AD78+AI78+AN78+AS78+AX78+BC78+BH78</f>
        <v>275.87127920746855</v>
      </c>
      <c r="BN78" s="38">
        <f>+F78+K78+P78+U78+Z78+AE78+AJ78+AO78+AT78+AY78+BD78+BI78</f>
        <v>280.85254276000001</v>
      </c>
      <c r="BO78" s="8">
        <f t="shared" si="332"/>
        <v>-4.981263552531459</v>
      </c>
      <c r="BP78" s="33">
        <f t="shared" si="333"/>
        <v>-1.8056477524016946E-2</v>
      </c>
    </row>
    <row r="79" spans="2:71" x14ac:dyDescent="0.25">
      <c r="B79">
        <f>+MAX($B$1:B78)+1</f>
        <v>81</v>
      </c>
      <c r="C79" s="15" t="s">
        <v>114</v>
      </c>
      <c r="E79" s="23">
        <f>+_xlfn.XLOOKUP($B79,Expenses_FY25B!$B:$B,Expenses_FY25B!S:S)/1000</f>
        <v>1.2298093005714466</v>
      </c>
      <c r="F79" s="25">
        <v>0</v>
      </c>
      <c r="G79" s="8">
        <f t="shared" si="308"/>
        <v>1.2298093005714466</v>
      </c>
      <c r="H79" s="33">
        <f t="shared" si="309"/>
        <v>1</v>
      </c>
      <c r="J79" s="23">
        <f>+_xlfn.XLOOKUP($B79,Expenses_FY25B!$B:$B,Expenses_FY25B!T:T)/1000</f>
        <v>0.9805417736194465</v>
      </c>
      <c r="K79" s="25">
        <v>0</v>
      </c>
      <c r="L79" s="8">
        <f t="shared" si="310"/>
        <v>0.9805417736194465</v>
      </c>
      <c r="M79" s="33">
        <f t="shared" si="311"/>
        <v>1</v>
      </c>
      <c r="O79" s="23">
        <f>+_xlfn.XLOOKUP($B79,Expenses_FY25B!$B:$B,Expenses_FY25B!U:U)/1000</f>
        <v>1.0388004910134467</v>
      </c>
      <c r="P79" s="25">
        <v>0</v>
      </c>
      <c r="Q79" s="8">
        <f t="shared" si="312"/>
        <v>1.0388004910134467</v>
      </c>
      <c r="R79" s="33">
        <f t="shared" si="313"/>
        <v>1</v>
      </c>
      <c r="T79" s="23">
        <f>+_xlfn.XLOOKUP($B79,Expenses_FY25B!$B:$B,Expenses_FY25B!V:V)/1000</f>
        <v>1.0155842970605578</v>
      </c>
      <c r="U79" s="25">
        <v>0</v>
      </c>
      <c r="V79" s="8">
        <f t="shared" si="314"/>
        <v>1.0155842970605578</v>
      </c>
      <c r="W79" s="33">
        <f t="shared" si="315"/>
        <v>1</v>
      </c>
      <c r="Y79" s="23">
        <f>+_xlfn.XLOOKUP($B79,Expenses_FY25B!$B:$B,Expenses_FY25B!W:W)/1000</f>
        <v>1.1134377978805576</v>
      </c>
      <c r="Z79" s="25">
        <v>0</v>
      </c>
      <c r="AA79" s="8">
        <f t="shared" si="316"/>
        <v>1.1134377978805576</v>
      </c>
      <c r="AB79" s="33">
        <f t="shared" si="317"/>
        <v>1</v>
      </c>
      <c r="AD79" s="23">
        <f>+_xlfn.XLOOKUP($B79,Expenses_FY25B!$B:$B,Expenses_FY25B!X:X)/1000</f>
        <v>1.14337537072644</v>
      </c>
      <c r="AE79" s="25">
        <v>0</v>
      </c>
      <c r="AF79" s="8">
        <f t="shared" si="318"/>
        <v>1.14337537072644</v>
      </c>
      <c r="AG79" s="33">
        <f t="shared" si="319"/>
        <v>1</v>
      </c>
      <c r="AI79" s="23">
        <f>+_xlfn.XLOOKUP($B79,Expenses_FY25B!$B:$B,Expenses_FY25B!Y:Y)/1000</f>
        <v>1.1997895734772241</v>
      </c>
      <c r="AJ79" s="25">
        <v>0</v>
      </c>
      <c r="AK79" s="8">
        <f t="shared" si="320"/>
        <v>1.1997895734772241</v>
      </c>
      <c r="AL79" s="33">
        <f t="shared" si="321"/>
        <v>1</v>
      </c>
      <c r="AN79" s="23">
        <f>+_xlfn.XLOOKUP($B79,Expenses_FY25B!$B:$B,Expenses_FY25B!Z:Z)/1000</f>
        <v>1.1501254814772242</v>
      </c>
      <c r="AO79" s="25">
        <v>0</v>
      </c>
      <c r="AP79" s="8">
        <f t="shared" si="322"/>
        <v>1.1501254814772242</v>
      </c>
      <c r="AQ79" s="33">
        <f t="shared" si="323"/>
        <v>1</v>
      </c>
      <c r="AS79" s="23">
        <f>+_xlfn.XLOOKUP($B79,Expenses_FY25B!$B:$B,Expenses_FY25B!AA:AA)/1000</f>
        <v>1.1478767204772244</v>
      </c>
      <c r="AT79" s="25">
        <v>0</v>
      </c>
      <c r="AU79" s="8">
        <f t="shared" si="324"/>
        <v>1.1478767204772244</v>
      </c>
      <c r="AV79" s="33">
        <f t="shared" si="325"/>
        <v>1</v>
      </c>
      <c r="AX79" s="23">
        <f>+_xlfn.XLOOKUP($B79,Expenses_FY25B!$B:$B,Expenses_FY25B!AB:AB)/1000</f>
        <v>1.1205478296197082</v>
      </c>
      <c r="AY79" s="25">
        <v>0</v>
      </c>
      <c r="AZ79" s="8">
        <f t="shared" si="326"/>
        <v>1.1205478296197082</v>
      </c>
      <c r="BA79" s="33">
        <f t="shared" si="327"/>
        <v>1</v>
      </c>
      <c r="BC79" s="23">
        <f>+_xlfn.XLOOKUP($B79,Expenses_FY25B!$B:$B,Expenses_FY25B!AC:AC)/1000</f>
        <v>1.0750944696197082</v>
      </c>
      <c r="BD79" s="25"/>
      <c r="BE79" s="8">
        <f t="shared" si="328"/>
        <v>1.0750944696197082</v>
      </c>
      <c r="BF79" s="33">
        <f t="shared" si="329"/>
        <v>1</v>
      </c>
      <c r="BH79" s="23">
        <f>+_xlfn.XLOOKUP($B79,Expenses_FY25B!$B:$B,Expenses_FY25B!AD:AD)/1000</f>
        <v>1.3666518351251951</v>
      </c>
      <c r="BI79" s="25">
        <v>0</v>
      </c>
      <c r="BJ79" s="8">
        <f t="shared" si="330"/>
        <v>1.3666518351251951</v>
      </c>
      <c r="BK79" s="33">
        <f t="shared" si="331"/>
        <v>1</v>
      </c>
      <c r="BM79" s="38">
        <f>+E79+J79+O79+T79+Y79+AD79+AI79+AN79+AS79+AX79+BC79+BH79</f>
        <v>13.581634940668179</v>
      </c>
      <c r="BN79" s="38">
        <f>+F79+K79+P79+U79+Z79+AE79+AJ79+AO79+AT79+AY79+BD79+BI79</f>
        <v>0</v>
      </c>
      <c r="BO79" s="8">
        <f t="shared" si="332"/>
        <v>13.581634940668179</v>
      </c>
      <c r="BP79" s="33">
        <f t="shared" si="333"/>
        <v>1</v>
      </c>
    </row>
    <row r="80" spans="2:71" x14ac:dyDescent="0.25">
      <c r="B80">
        <f>+MAX($B$1:B79)+1</f>
        <v>82</v>
      </c>
      <c r="C80" s="15" t="s">
        <v>201</v>
      </c>
      <c r="E80" s="23">
        <f>+_xlfn.XLOOKUP($B80,Expenses_FY25B!$B:$B,Expenses_FY25B!S:S)/1000</f>
        <v>15.98320989622693</v>
      </c>
      <c r="F80" s="25">
        <v>14.556808549999987</v>
      </c>
      <c r="G80" s="8">
        <f t="shared" si="308"/>
        <v>1.4264013462269425</v>
      </c>
      <c r="H80" s="33">
        <f t="shared" si="309"/>
        <v>8.9243734862273522E-2</v>
      </c>
      <c r="J80" s="23">
        <f>+_xlfn.XLOOKUP($B80,Expenses_FY25B!$B:$B,Expenses_FY25B!T:T)/1000</f>
        <v>7.9832098962269296</v>
      </c>
      <c r="K80" s="25">
        <v>4.1862806199999989</v>
      </c>
      <c r="L80" s="8">
        <f t="shared" si="310"/>
        <v>3.7969292762269307</v>
      </c>
      <c r="M80" s="33">
        <f t="shared" si="311"/>
        <v>0.47561436133872131</v>
      </c>
      <c r="O80" s="23">
        <f>+_xlfn.XLOOKUP($B80,Expenses_FY25B!$B:$B,Expenses_FY25B!U:U)/1000</f>
        <v>7.9832098962269296</v>
      </c>
      <c r="P80" s="25">
        <v>9.3273995899999846</v>
      </c>
      <c r="Q80" s="8">
        <f t="shared" si="312"/>
        <v>-1.3441896937730551</v>
      </c>
      <c r="R80" s="33">
        <f t="shared" si="313"/>
        <v>-0.16837709533459139</v>
      </c>
      <c r="T80" s="23">
        <f>+_xlfn.XLOOKUP($B80,Expenses_FY25B!$B:$B,Expenses_FY25B!V:V)/1000</f>
        <v>8.9150074517824844</v>
      </c>
      <c r="U80" s="25">
        <v>9.2088455599999861</v>
      </c>
      <c r="V80" s="8">
        <f t="shared" si="314"/>
        <v>-0.29383810821750167</v>
      </c>
      <c r="W80" s="33">
        <f t="shared" si="315"/>
        <v>-3.2959939720381401E-2</v>
      </c>
      <c r="Y80" s="23">
        <f>+_xlfn.XLOOKUP($B80,Expenses_FY25B!$B:$B,Expenses_FY25B!W:W)/1000</f>
        <v>9.1650074517824862</v>
      </c>
      <c r="Z80" s="25">
        <v>7.9767235400000027</v>
      </c>
      <c r="AA80" s="8">
        <f t="shared" si="316"/>
        <v>1.1882839117824835</v>
      </c>
      <c r="AB80" s="33">
        <f t="shared" si="317"/>
        <v>0.12965444033014684</v>
      </c>
      <c r="AD80" s="23">
        <f>+_xlfn.XLOOKUP($B80,Expenses_FY25B!$B:$B,Expenses_FY25B!X:X)/1000</f>
        <v>9.3205956870766045</v>
      </c>
      <c r="AE80" s="25">
        <v>7.9902954500000041</v>
      </c>
      <c r="AF80" s="8">
        <f t="shared" si="318"/>
        <v>1.3303002370766004</v>
      </c>
      <c r="AG80" s="33">
        <f t="shared" si="319"/>
        <v>0.14272695455732698</v>
      </c>
      <c r="AI80" s="23">
        <f>+_xlfn.XLOOKUP($B80,Expenses_FY25B!$B:$B,Expenses_FY25B!Y:Y)/1000</f>
        <v>11.055252785115817</v>
      </c>
      <c r="AJ80" s="294">
        <v>12.60388897</v>
      </c>
      <c r="AK80" s="8">
        <f t="shared" si="320"/>
        <v>-1.5486361848841828</v>
      </c>
      <c r="AL80" s="33">
        <f t="shared" si="321"/>
        <v>-0.14008148117329178</v>
      </c>
      <c r="AN80" s="23">
        <f>+_xlfn.XLOOKUP($B80,Expenses_FY25B!$B:$B,Expenses_FY25B!Z:Z)/1000</f>
        <v>8.7470907851158195</v>
      </c>
      <c r="AO80" s="294">
        <v>6.928830150000004</v>
      </c>
      <c r="AP80" s="8">
        <f t="shared" si="322"/>
        <v>1.8182606351158155</v>
      </c>
      <c r="AQ80" s="33">
        <f t="shared" si="323"/>
        <v>0.20787032852223222</v>
      </c>
      <c r="AS80" s="23">
        <f>+_xlfn.XLOOKUP($B80,Expenses_FY25B!$B:$B,Expenses_FY25B!AA:AA)/1000</f>
        <v>8.7470907851158195</v>
      </c>
      <c r="AT80" s="294">
        <v>9.9633209799999971</v>
      </c>
      <c r="AU80" s="8">
        <f t="shared" si="324"/>
        <v>-1.2162301948841776</v>
      </c>
      <c r="AV80" s="33">
        <f t="shared" si="325"/>
        <v>-0.13904396613257211</v>
      </c>
      <c r="AX80" s="23">
        <f>+_xlfn.XLOOKUP($B80,Expenses_FY25B!$B:$B,Expenses_FY25B!AB:AB)/1000</f>
        <v>7.8019502622400063</v>
      </c>
      <c r="AY80" s="25">
        <v>9.9406498400000096</v>
      </c>
      <c r="AZ80" s="8">
        <f t="shared" si="326"/>
        <v>-2.1386995777600033</v>
      </c>
      <c r="BA80" s="33">
        <f t="shared" si="327"/>
        <v>-0.27412371341444114</v>
      </c>
      <c r="BC80" s="23">
        <f>+_xlfn.XLOOKUP($B80,Expenses_FY25B!$B:$B,Expenses_FY25B!AC:AC)/1000</f>
        <v>7.8019502622400063</v>
      </c>
      <c r="BD80" s="25">
        <v>13.000118960000004</v>
      </c>
      <c r="BE80" s="8">
        <f t="shared" si="328"/>
        <v>-5.1981686977599972</v>
      </c>
      <c r="BF80" s="33">
        <f t="shared" si="329"/>
        <v>-0.66626529560412229</v>
      </c>
      <c r="BH80" s="23">
        <f>+_xlfn.XLOOKUP($B80,Expenses_FY25B!$B:$B,Expenses_FY25B!AD:AD)/1000</f>
        <v>19.301326801634481</v>
      </c>
      <c r="BI80" s="25">
        <v>19.912972890000017</v>
      </c>
      <c r="BJ80" s="8">
        <f t="shared" si="330"/>
        <v>-0.61164608836553569</v>
      </c>
      <c r="BK80" s="33">
        <f t="shared" si="331"/>
        <v>-3.1689328648315515E-2</v>
      </c>
      <c r="BM80" s="38">
        <f t="shared" si="334"/>
        <v>122.80490196078432</v>
      </c>
      <c r="BN80" s="38">
        <f>+F80+K80+P80+U80+Z80+AE80+AJ80+AO80+AT80+AY80+BD80+BI80</f>
        <v>125.59613510000001</v>
      </c>
      <c r="BO80" s="8">
        <f t="shared" si="332"/>
        <v>-2.7912331392156915</v>
      </c>
      <c r="BP80" s="33">
        <f t="shared" si="333"/>
        <v>-2.272900425511536E-2</v>
      </c>
    </row>
    <row r="81" spans="1:68" ht="15.75" thickBot="1" x14ac:dyDescent="0.3">
      <c r="B81" s="44"/>
      <c r="C81" s="97" t="s">
        <v>115</v>
      </c>
      <c r="E81" s="30">
        <f>SUM(E77:E80)</f>
        <v>62.720274783183775</v>
      </c>
      <c r="F81" s="30">
        <f>SUM(F77:F80)</f>
        <v>64.052936450000004</v>
      </c>
      <c r="G81" s="30">
        <f t="shared" si="308"/>
        <v>-1.3326616668162288</v>
      </c>
      <c r="H81" s="37">
        <f>IFERROR(G81/E81,"")</f>
        <v>-2.1247701344151874E-2</v>
      </c>
      <c r="J81" s="30">
        <f>SUM(J77:J80)</f>
        <v>50.007630454591776</v>
      </c>
      <c r="K81" s="30">
        <f>SUM(K77:K80)</f>
        <v>71.989307660000023</v>
      </c>
      <c r="L81" s="30">
        <f t="shared" si="310"/>
        <v>-21.981677205408246</v>
      </c>
      <c r="M81" s="37">
        <f>IFERROR(L81/J81,"")</f>
        <v>-0.43956646226955659</v>
      </c>
      <c r="O81" s="30">
        <f>SUM(O77:O80)</f>
        <v>52.978825041685781</v>
      </c>
      <c r="P81" s="40">
        <f>SUM(P77:P80)</f>
        <v>54.62681400999999</v>
      </c>
      <c r="Q81" s="30">
        <f t="shared" si="312"/>
        <v>-1.647988968314209</v>
      </c>
      <c r="R81" s="37">
        <f>IFERROR(Q81/O81,"")</f>
        <v>-3.1106559404016753E-2</v>
      </c>
      <c r="T81" s="30">
        <f>SUM(T77:T80)</f>
        <v>51.794799150088437</v>
      </c>
      <c r="U81" s="40">
        <f>SUM(U77:U80)</f>
        <v>58.254148189999988</v>
      </c>
      <c r="V81" s="30">
        <f t="shared" si="314"/>
        <v>-6.459349039911551</v>
      </c>
      <c r="W81" s="37">
        <f>IFERROR(V81/T81,"")</f>
        <v>-0.12471037914818368</v>
      </c>
      <c r="Y81" s="30">
        <f>SUM(Y77:Y80)</f>
        <v>56.785327691908442</v>
      </c>
      <c r="Z81" s="40">
        <f>SUM(Z77:Z80)</f>
        <v>50.000299180000006</v>
      </c>
      <c r="AA81" s="30">
        <f t="shared" si="316"/>
        <v>6.7850285119084361</v>
      </c>
      <c r="AB81" s="37">
        <f>IFERROR(AA81/Y81,"")</f>
        <v>0.11948559227695116</v>
      </c>
      <c r="AD81" s="30">
        <f>SUM(AD77:AD80)</f>
        <v>58.31214390704843</v>
      </c>
      <c r="AE81" s="40">
        <f>SUM(AE77:AE80)</f>
        <v>60.393110700000015</v>
      </c>
      <c r="AF81" s="30">
        <f t="shared" si="318"/>
        <v>-2.0809667929515854</v>
      </c>
      <c r="AG81" s="37">
        <f>IFERROR(AF81/AD81,"")</f>
        <v>-3.5686679540864047E-2</v>
      </c>
      <c r="AI81" s="30">
        <f>SUM(AI77:AI80)</f>
        <v>61.18926824733844</v>
      </c>
      <c r="AJ81" s="40">
        <f>SUM(AJ77:AJ80)</f>
        <v>56.72546469000001</v>
      </c>
      <c r="AK81" s="30">
        <f t="shared" si="320"/>
        <v>4.46380355733843</v>
      </c>
      <c r="AL81" s="37">
        <f>IFERROR(AK81/AI81,"")</f>
        <v>7.2950758935290794E-2</v>
      </c>
      <c r="AN81" s="30">
        <f>SUM(AN77:AN80)</f>
        <v>58.656399555338439</v>
      </c>
      <c r="AO81" s="40">
        <f>SUM(AO77:AO80)</f>
        <v>48.442178030000001</v>
      </c>
      <c r="AP81" s="30">
        <f t="shared" si="322"/>
        <v>10.214221525338438</v>
      </c>
      <c r="AQ81" s="37">
        <f>IFERROR(AP81/AN81,"")</f>
        <v>0.17413652393890958</v>
      </c>
      <c r="AS81" s="30">
        <f>SUM(AS77:AS80)</f>
        <v>58.54171274433844</v>
      </c>
      <c r="AT81" s="40">
        <f>SUM(AT77:AT80)</f>
        <v>51.417669160000003</v>
      </c>
      <c r="AU81" s="30">
        <f t="shared" si="324"/>
        <v>7.1240435843384375</v>
      </c>
      <c r="AV81" s="37">
        <f>IFERROR(AU81/AS81,"")</f>
        <v>0.12169175192140928</v>
      </c>
      <c r="AX81" s="30">
        <f>SUM(AX77:AX80)</f>
        <v>57.147939412219706</v>
      </c>
      <c r="AY81" s="40">
        <f>SUM(AY77:AY80)</f>
        <v>39.840649840000012</v>
      </c>
      <c r="AZ81" s="30">
        <f t="shared" si="326"/>
        <v>17.307289572219695</v>
      </c>
      <c r="BA81" s="37">
        <f>IFERROR(AZ81/AX81,"")</f>
        <v>0.30285063206529106</v>
      </c>
      <c r="BC81" s="30">
        <f>SUM(BC77:BC80)</f>
        <v>55.16315138621971</v>
      </c>
      <c r="BD81" s="40">
        <f>SUM(BD77:BD80)</f>
        <v>56.800118960000006</v>
      </c>
      <c r="BE81" s="30">
        <f t="shared" si="328"/>
        <v>-1.6369675737802964</v>
      </c>
      <c r="BF81" s="37">
        <f>IFERROR(BE81/BC81,"")</f>
        <v>-2.9675019150360339E-2</v>
      </c>
      <c r="BH81" s="30">
        <f>SUM(BH77:BH80)</f>
        <v>69.366198306759685</v>
      </c>
      <c r="BI81" s="40">
        <f>SUM(BI77:BI80)</f>
        <v>79.812972890000012</v>
      </c>
      <c r="BJ81" s="30">
        <f t="shared" si="330"/>
        <v>-10.446774583240327</v>
      </c>
      <c r="BK81" s="37">
        <f>IFERROR(BJ81/BH81,"")</f>
        <v>-0.15060324535937983</v>
      </c>
      <c r="BM81" s="238">
        <f>SUM(BM77:BM80)</f>
        <v>692.663670680721</v>
      </c>
      <c r="BN81" s="40">
        <f>SUM(BN77:BN80)</f>
        <v>692.35566975999996</v>
      </c>
      <c r="BO81" s="300">
        <f t="shared" si="332"/>
        <v>0.30800092072104235</v>
      </c>
      <c r="BP81" s="37">
        <f>IFERROR(BO81/BM81,"")</f>
        <v>4.4466157784535154E-4</v>
      </c>
    </row>
    <row r="82" spans="1:68" ht="15.75" thickTop="1" x14ac:dyDescent="0.25">
      <c r="B82" s="44"/>
      <c r="C82" s="97"/>
      <c r="E82" s="32"/>
      <c r="F82" s="32"/>
      <c r="G82" s="32"/>
      <c r="H82" s="34"/>
      <c r="J82" s="32"/>
      <c r="K82" s="32"/>
      <c r="L82" s="32"/>
      <c r="M82" s="34"/>
      <c r="O82" s="32"/>
      <c r="P82" s="41"/>
      <c r="Q82" s="32"/>
      <c r="R82" s="34"/>
      <c r="T82" s="32"/>
      <c r="U82" s="41"/>
      <c r="V82" s="32"/>
      <c r="W82" s="34"/>
      <c r="Y82" s="32"/>
      <c r="Z82" s="41"/>
      <c r="AA82" s="32"/>
      <c r="AB82" s="34"/>
      <c r="AD82" s="32"/>
      <c r="AE82" s="41"/>
      <c r="AF82" s="32"/>
      <c r="AG82" s="34"/>
      <c r="AI82" s="32"/>
      <c r="AJ82" s="41"/>
      <c r="AK82" s="32"/>
      <c r="AL82" s="34"/>
      <c r="AN82" s="32"/>
      <c r="AO82" s="41"/>
      <c r="AP82" s="32"/>
      <c r="AQ82" s="34"/>
      <c r="AS82" s="32"/>
      <c r="AT82" s="41"/>
      <c r="AU82" s="32"/>
      <c r="AV82" s="34"/>
      <c r="AX82" s="32"/>
      <c r="AY82" s="41"/>
      <c r="AZ82" s="32"/>
      <c r="BA82" s="34"/>
      <c r="BC82" s="32"/>
      <c r="BD82" s="41"/>
      <c r="BE82" s="32"/>
      <c r="BF82" s="34"/>
      <c r="BH82" s="32"/>
      <c r="BI82" s="41"/>
      <c r="BJ82" s="32"/>
      <c r="BK82" s="34"/>
      <c r="BM82" s="216"/>
      <c r="BN82" s="41"/>
      <c r="BO82" s="32"/>
      <c r="BP82" s="34"/>
    </row>
    <row r="83" spans="1:68" x14ac:dyDescent="0.25">
      <c r="B83" s="44">
        <v>83</v>
      </c>
      <c r="C83" s="97" t="s">
        <v>246</v>
      </c>
      <c r="E83" s="23">
        <f>+_xlfn.XLOOKUP($B83,Expenses_FY25B!$B:$B,Expenses_FY25B!S:S)/1000</f>
        <v>5.8590825214079993</v>
      </c>
      <c r="F83" s="25">
        <v>4.9834001199999998</v>
      </c>
      <c r="G83" s="8">
        <f t="shared" ref="G83" si="335">E83-F83</f>
        <v>0.87568240140799958</v>
      </c>
      <c r="H83" s="33">
        <f t="shared" ref="H83" si="336">IFERROR(G83/E83,"n.a.")</f>
        <v>0.14945725686716627</v>
      </c>
      <c r="J83" s="23">
        <f>+_xlfn.XLOOKUP($B83,Expenses_FY25B!$B:$B,Expenses_FY25B!T:T)/1000</f>
        <v>5.8590825214079993</v>
      </c>
      <c r="K83" s="25">
        <v>5.0875237499999999</v>
      </c>
      <c r="L83" s="8">
        <f t="shared" ref="L83" si="337">J83-K83</f>
        <v>0.77155877140799944</v>
      </c>
      <c r="M83" s="33">
        <f t="shared" ref="M83" si="338">IFERROR(L83/J83,"n.a.")</f>
        <v>0.13168593693447173</v>
      </c>
      <c r="O83" s="23">
        <f>+_xlfn.XLOOKUP($B83,Expenses_FY25B!$B:$B,Expenses_FY25B!U:U)/1000</f>
        <v>5.8590825214079993</v>
      </c>
      <c r="P83" s="25">
        <v>4.6985461700000002</v>
      </c>
      <c r="Q83" s="8">
        <f t="shared" ref="Q83" si="339">O83-P83</f>
        <v>1.1605363514079992</v>
      </c>
      <c r="R83" s="33">
        <f t="shared" ref="R83" si="340">IFERROR(Q83/O83,"n.a.")</f>
        <v>0.19807475780851608</v>
      </c>
      <c r="T83" s="23">
        <f>+_xlfn.XLOOKUP($B83,Expenses_FY25B!$B:$B,Expenses_FY25B!V:V)/1000</f>
        <v>4.9534513066079997</v>
      </c>
      <c r="U83" s="25">
        <v>4.8597665499999998</v>
      </c>
      <c r="V83" s="8">
        <f t="shared" ref="V83" si="341">T83-U83</f>
        <v>9.3684756607999908E-2</v>
      </c>
      <c r="W83" s="33">
        <f t="shared" ref="W83" si="342">IFERROR(V83/T83,"n.a.")</f>
        <v>1.8913026657397972E-2</v>
      </c>
      <c r="Y83" s="23">
        <f>+_xlfn.XLOOKUP($B83,Expenses_FY25B!$B:$B,Expenses_FY25B!W:W)/1000</f>
        <v>4.9534513066079997</v>
      </c>
      <c r="Z83" s="25">
        <v>5.0147769400000008</v>
      </c>
      <c r="AA83" s="8">
        <f t="shared" ref="AA83" si="343">Y83-Z83</f>
        <v>-6.1325633392001144E-2</v>
      </c>
      <c r="AB83" s="33">
        <f t="shared" ref="AB83" si="344">IFERROR(AA83/Y83,"n.a.")</f>
        <v>-1.2380384825867081E-2</v>
      </c>
      <c r="AD83" s="23">
        <f>+_xlfn.XLOOKUP($B83,Expenses_FY25B!$B:$B,Expenses_FY25B!X:X)/1000</f>
        <v>4.9534513066079997</v>
      </c>
      <c r="AE83" s="25">
        <v>5.1514428899999993</v>
      </c>
      <c r="AF83" s="8">
        <f t="shared" ref="AF83" si="345">AD83-AE83</f>
        <v>-0.19799158339199963</v>
      </c>
      <c r="AG83" s="33">
        <f t="shared" ref="AG83" si="346">IFERROR(AF83/AD83,"n.a.")</f>
        <v>-3.9970430945364302E-2</v>
      </c>
      <c r="AI83" s="23">
        <f>+_xlfn.XLOOKUP($B83,Expenses_FY25B!$B:$B,Expenses_FY25B!Y:Y)/1000</f>
        <v>4.9534513066079997</v>
      </c>
      <c r="AJ83" s="25">
        <v>4.5932230000000001</v>
      </c>
      <c r="AK83" s="8">
        <f t="shared" ref="AK83" si="347">AI83-AJ83</f>
        <v>0.36022830660799965</v>
      </c>
      <c r="AL83" s="33">
        <f t="shared" ref="AL83" si="348">IFERROR(AK83/AI83,"n.a.")</f>
        <v>7.2722690566766682E-2</v>
      </c>
      <c r="AN83" s="23">
        <f>+_xlfn.XLOOKUP($B83,Expenses_FY25B!$B:$B,Expenses_FY25B!Z:Z)/1000</f>
        <v>4.9534513066079997</v>
      </c>
      <c r="AO83" s="25">
        <v>4.9533690000000004</v>
      </c>
      <c r="AP83" s="8">
        <f t="shared" ref="AP83" si="349">AN83-AO83</f>
        <v>8.2306607999349524E-5</v>
      </c>
      <c r="AQ83" s="33">
        <f t="shared" ref="AQ83" si="350">IFERROR(AP83/AN83,"n.a.")</f>
        <v>1.6616012332563141E-5</v>
      </c>
      <c r="AS83" s="23">
        <f>+_xlfn.XLOOKUP($B83,Expenses_FY25B!$B:$B,Expenses_FY25B!AA:AA)/1000</f>
        <v>4.9534513066079997</v>
      </c>
      <c r="AT83" s="25">
        <v>4.2875399999999999</v>
      </c>
      <c r="AU83" s="8">
        <f t="shared" ref="AU83" si="351">AS83-AT83</f>
        <v>0.6659113066079998</v>
      </c>
      <c r="AV83" s="33">
        <f t="shared" ref="AV83" si="352">IFERROR(AU83/AS83,"n.a.")</f>
        <v>0.1344338049149007</v>
      </c>
      <c r="AX83" s="23">
        <f>+_xlfn.XLOOKUP($B83,Expenses_FY25B!$B:$B,Expenses_FY25B!AB:AB)/1000</f>
        <v>4.9534513066079997</v>
      </c>
      <c r="AY83" s="25">
        <v>1.7456341100000001</v>
      </c>
      <c r="AZ83" s="8">
        <f t="shared" ref="AZ83" si="353">AX83-AY83</f>
        <v>3.2078171966079996</v>
      </c>
      <c r="BA83" s="33">
        <f t="shared" ref="BA83" si="354">IFERROR(AZ83/AX83,"n.a.")</f>
        <v>0.64759235491599754</v>
      </c>
      <c r="BC83" s="23">
        <f>+_xlfn.XLOOKUP($B83,Expenses_FY25B!$B:$B,Expenses_FY25B!AC:AC)/1000</f>
        <v>4.9534513066079997</v>
      </c>
      <c r="BD83" s="25">
        <v>-2.6070134700000001</v>
      </c>
      <c r="BE83" s="8">
        <f t="shared" ref="BE83" si="355">BC83-BD83</f>
        <v>7.5604647766079998</v>
      </c>
      <c r="BF83" s="33">
        <f t="shared" ref="BF83" si="356">IFERROR(BE83/BC83,"n.a.")</f>
        <v>1.5263024321087388</v>
      </c>
      <c r="BH83" s="23">
        <f>+_xlfn.XLOOKUP($B83,Expenses_FY25B!$B:$B,Expenses_FY25B!AD:AD)/1000</f>
        <v>4.9534513066079997</v>
      </c>
      <c r="BI83" s="25">
        <v>8.5295617400000001</v>
      </c>
      <c r="BJ83" s="8">
        <f t="shared" ref="BJ83" si="357">BH83-BI83</f>
        <v>-3.5761104333920004</v>
      </c>
      <c r="BK83" s="33">
        <f t="shared" ref="BK83" si="358">IFERROR(BJ83/BH83,"n.a.")</f>
        <v>-0.72194318910966182</v>
      </c>
      <c r="BM83" s="38">
        <f>+E83+J83+O83+T83+Y83+AD83+AI83+AN83+AS83+AX83+BC83+BH83</f>
        <v>62.15830932369601</v>
      </c>
      <c r="BN83" s="38">
        <f>+F83+K83+P83+U83+Z83+AE83+AJ83+AO83+AT83+AY83+BD83+BI83</f>
        <v>51.297770799999995</v>
      </c>
      <c r="BO83" s="8">
        <f t="shared" ref="BO83" si="359">BM83-BN83</f>
        <v>10.860538523696015</v>
      </c>
      <c r="BP83" s="33">
        <f t="shared" ref="BP83" si="360">IFERROR(BO83/BM83,"n.a.")</f>
        <v>0.17472384049473746</v>
      </c>
    </row>
    <row r="84" spans="1:68" x14ac:dyDescent="0.25">
      <c r="B84" s="44"/>
      <c r="C84" s="97"/>
      <c r="E84" s="105"/>
      <c r="F84" s="105"/>
      <c r="G84" s="105"/>
      <c r="H84" s="101"/>
      <c r="J84" s="105"/>
      <c r="K84" s="105"/>
      <c r="L84" s="105"/>
      <c r="M84" s="101"/>
      <c r="O84" s="105"/>
      <c r="P84" s="228"/>
      <c r="Q84" s="105"/>
      <c r="R84" s="101"/>
      <c r="T84" s="105"/>
      <c r="U84" s="228"/>
      <c r="V84" s="105"/>
      <c r="W84" s="101"/>
      <c r="Y84" s="105"/>
      <c r="Z84" s="228"/>
      <c r="AA84" s="105"/>
      <c r="AB84" s="101"/>
      <c r="AD84" s="105"/>
      <c r="AE84" s="228"/>
      <c r="AF84" s="105"/>
      <c r="AG84" s="101"/>
      <c r="AI84" s="105"/>
      <c r="AJ84" s="228"/>
      <c r="AK84" s="105"/>
      <c r="AL84" s="101"/>
      <c r="AN84" s="105"/>
      <c r="AO84" s="228"/>
      <c r="AP84" s="105"/>
      <c r="AQ84" s="101"/>
      <c r="AS84" s="105"/>
      <c r="AT84" s="228"/>
      <c r="AU84" s="105"/>
      <c r="AV84" s="101"/>
      <c r="AX84" s="105"/>
      <c r="AY84" s="228"/>
      <c r="AZ84" s="105"/>
      <c r="BA84" s="101"/>
      <c r="BC84" s="105"/>
      <c r="BD84" s="228"/>
      <c r="BE84" s="105"/>
      <c r="BF84" s="101"/>
      <c r="BH84" s="105"/>
      <c r="BI84" s="228"/>
      <c r="BJ84" s="105"/>
      <c r="BK84" s="101"/>
      <c r="BM84" s="239"/>
      <c r="BN84" s="228"/>
      <c r="BO84" s="105"/>
      <c r="BP84" s="101"/>
    </row>
    <row r="85" spans="1:68" s="5" customFormat="1" ht="15.75" thickBot="1" x14ac:dyDescent="0.3">
      <c r="C85" s="5" t="s">
        <v>116</v>
      </c>
      <c r="E85" s="27">
        <f>+E16+E25+E53+E74+E81+E83</f>
        <v>68.579357304591781</v>
      </c>
      <c r="F85" s="27">
        <f>+F16+F25+F53+F74+F81+F83</f>
        <v>69.036336570000003</v>
      </c>
      <c r="G85" s="27">
        <f t="shared" ref="G85" si="361">+G16+G25+G53+G74+G81+G83</f>
        <v>-0.4569792654082292</v>
      </c>
      <c r="H85" s="28">
        <f>IFERROR(G85/E85,"")</f>
        <v>-6.6635104697551871E-3</v>
      </c>
      <c r="J85" s="27">
        <f>+J16+J25+J53+J74+J81+J83</f>
        <v>55.866712975999775</v>
      </c>
      <c r="K85" s="27">
        <f>+K16+K25+K53+K74+K81+K83</f>
        <v>77.076831410000025</v>
      </c>
      <c r="L85" s="27">
        <f>J85-K85</f>
        <v>-21.21011843400025</v>
      </c>
      <c r="M85" s="28">
        <f>IFERROR(L85/J85,"")</f>
        <v>-0.37965574318131218</v>
      </c>
      <c r="O85" s="27">
        <f>+O16+O25+O53+O74+O81+O83</f>
        <v>58.837907563093779</v>
      </c>
      <c r="P85" s="27">
        <f>+P16+P25+P53+P74+P81+P83</f>
        <v>59.32536017999999</v>
      </c>
      <c r="Q85" s="27">
        <f>O85-P85</f>
        <v>-0.48745261690621078</v>
      </c>
      <c r="R85" s="28">
        <f>IFERROR(Q85/O85,"")</f>
        <v>-8.28466947747079E-3</v>
      </c>
      <c r="T85" s="27">
        <f>+T16+T25+T53+T74+T81+T83</f>
        <v>56.748250456696439</v>
      </c>
      <c r="U85" s="27">
        <f>+U16+U25+U53+U74+U81+U83</f>
        <v>63.113914739999984</v>
      </c>
      <c r="V85" s="27">
        <f>T85-U85</f>
        <v>-6.3656642833035448</v>
      </c>
      <c r="W85" s="28">
        <f>IFERROR(V85/T85,"")</f>
        <v>-0.11217375394085616</v>
      </c>
      <c r="Y85" s="27">
        <f>+Y16+Y25+Y53+Y74+Y81+Y83</f>
        <v>61.738778998516445</v>
      </c>
      <c r="Z85" s="27">
        <f>+Z16+Z25+Z53+Z74+Z81+Z83</f>
        <v>55.015076120000003</v>
      </c>
      <c r="AA85" s="27">
        <f>Y85-Z85</f>
        <v>6.7237028785164412</v>
      </c>
      <c r="AB85" s="28">
        <f>IFERROR(AA85/Y85,"")</f>
        <v>0.10890566654513865</v>
      </c>
      <c r="AD85" s="27">
        <f>+AD16+AD25+AD53+AD74+AD81+AD83</f>
        <v>63.265595213656432</v>
      </c>
      <c r="AE85" s="27">
        <f>+AE16+AE25+AE53+AE74+AE81+AE83</f>
        <v>65.544553590000021</v>
      </c>
      <c r="AF85" s="27">
        <f>AD85-AE85</f>
        <v>-2.2789583763435886</v>
      </c>
      <c r="AG85" s="28">
        <f>IFERROR(AF85/AD85,"")</f>
        <v>-3.6022080700374971E-2</v>
      </c>
      <c r="AI85" s="27">
        <f>+AI16+AI25+AI53+AI74+AI81+AI83</f>
        <v>66.142719553946435</v>
      </c>
      <c r="AJ85" s="27">
        <f>+AJ16+AJ25+AJ53+AJ74+AJ81+AJ83</f>
        <v>61.318687690000012</v>
      </c>
      <c r="AK85" s="27">
        <f>AI85-AJ85</f>
        <v>4.8240318639464235</v>
      </c>
      <c r="AL85" s="28">
        <f>IFERROR(AK85/AI85,"")</f>
        <v>7.2933678815729847E-2</v>
      </c>
      <c r="AN85" s="27">
        <f>+AN16+AN25+AN53+AN74+AN81+AN83</f>
        <v>63.609850861946441</v>
      </c>
      <c r="AO85" s="27">
        <f>+AO16+AO25+AO53+AO74+AO81+AO83</f>
        <v>53.395547030000003</v>
      </c>
      <c r="AP85" s="27">
        <f>AN85-AO85</f>
        <v>10.214303831946438</v>
      </c>
      <c r="AQ85" s="28">
        <f>IFERROR(AP85/AN85,"")</f>
        <v>0.1605773900353063</v>
      </c>
      <c r="AS85" s="27">
        <f>+AS16+AS25+AS53+AS74+AS81+AS83</f>
        <v>63.495164050946443</v>
      </c>
      <c r="AT85" s="27">
        <f>+AT16+AT25+AT53+AT74+AT81+AT83</f>
        <v>55.705209160000003</v>
      </c>
      <c r="AU85" s="27">
        <f>AS85-AT85</f>
        <v>7.78995489094644</v>
      </c>
      <c r="AV85" s="28">
        <f>IFERROR(AU85/AS85,"")</f>
        <v>0.12268579831837327</v>
      </c>
      <c r="AX85" s="27">
        <f>+AX16+AX25+AX53+AX74+AX81+AX83</f>
        <v>62.101390718827709</v>
      </c>
      <c r="AY85" s="27">
        <f>+AY16+AY25+AY53+AY74+AY81+AY83</f>
        <v>41.586283950000009</v>
      </c>
      <c r="AZ85" s="27">
        <f>AX85-AY85</f>
        <v>20.5151067688277</v>
      </c>
      <c r="BA85" s="28">
        <f>IFERROR(AZ85/AX85,"")</f>
        <v>0.33034858851571569</v>
      </c>
      <c r="BC85" s="27">
        <f>+BC16+BC25+BC53+BC74+BC81+BC83</f>
        <v>60.116602692827712</v>
      </c>
      <c r="BD85" s="27">
        <f>+BD16+BD25+BD53+BD74+BD81+BD83</f>
        <v>54.193105490000008</v>
      </c>
      <c r="BE85" s="27">
        <f>BC85-BD85</f>
        <v>5.9234972028277042</v>
      </c>
      <c r="BF85" s="28">
        <f>IFERROR(BE85/BC85,"")</f>
        <v>9.8533465590104188E-2</v>
      </c>
      <c r="BH85" s="27">
        <f>+BH16+BH25+BH53+BH74+BH81+BH83</f>
        <v>74.319649613367687</v>
      </c>
      <c r="BI85" s="27">
        <f>+BI16+BI25+BI53+BI74+BI81+BI83</f>
        <v>88.342534630000017</v>
      </c>
      <c r="BJ85" s="27">
        <f>BH85-BI85</f>
        <v>-14.02288501663233</v>
      </c>
      <c r="BK85" s="28">
        <f>IFERROR(BJ85/BH85,"")</f>
        <v>-0.18868341131293587</v>
      </c>
      <c r="BM85" s="27">
        <f>+BM16+BM25+BM53+BM74+BM81+BM83</f>
        <v>754.82198000441701</v>
      </c>
      <c r="BN85" s="27">
        <f>+BN16+BN25+BN53+BN74+BN81+BN83</f>
        <v>743.65344055999992</v>
      </c>
      <c r="BO85" s="27">
        <f>BM85-BN85</f>
        <v>11.168539444417092</v>
      </c>
      <c r="BP85" s="28">
        <f>IFERROR(BO85/BM85,"")</f>
        <v>1.4796256256808707E-2</v>
      </c>
    </row>
    <row r="86" spans="1:68" x14ac:dyDescent="0.25">
      <c r="C86" s="16"/>
      <c r="D86" s="16"/>
      <c r="E86" s="99"/>
      <c r="F86" s="16"/>
      <c r="G86" s="16"/>
      <c r="H86" s="16"/>
      <c r="I86" s="16"/>
      <c r="J86" s="16"/>
      <c r="K86" s="16"/>
      <c r="L86" s="16"/>
      <c r="M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M86" s="100">
        <f>(Expenses_FY25B!D77/1000)-BM85</f>
        <v>-4.5404010506899795E-7</v>
      </c>
      <c r="BN86" s="16"/>
      <c r="BO86" s="16"/>
      <c r="BP86" s="16"/>
    </row>
    <row r="87" spans="1:68" ht="15.75" x14ac:dyDescent="0.25">
      <c r="A87" s="215"/>
      <c r="E87" s="100"/>
      <c r="K87" s="290"/>
    </row>
    <row r="88" spans="1:68" ht="15.75" x14ac:dyDescent="0.25">
      <c r="A88" s="215"/>
      <c r="B88" s="277"/>
      <c r="C88" s="277"/>
      <c r="D88" s="277"/>
      <c r="E88" s="277"/>
      <c r="BM88" s="279"/>
    </row>
    <row r="89" spans="1:68" ht="15.75" x14ac:dyDescent="0.25">
      <c r="A89" s="215"/>
      <c r="E89" s="100"/>
      <c r="F89" s="280"/>
    </row>
    <row r="90" spans="1:68" x14ac:dyDescent="0.25">
      <c r="B90" s="292" t="s">
        <v>252</v>
      </c>
      <c r="C90" s="276"/>
      <c r="E90" s="100"/>
      <c r="F90" s="100"/>
    </row>
    <row r="91" spans="1:68" x14ac:dyDescent="0.25">
      <c r="B91" s="293">
        <v>1</v>
      </c>
      <c r="C91" s="276" t="s">
        <v>255</v>
      </c>
    </row>
    <row r="92" spans="1:68" x14ac:dyDescent="0.25">
      <c r="F92" s="278"/>
    </row>
    <row r="93" spans="1:68" x14ac:dyDescent="0.25">
      <c r="C93" s="96"/>
    </row>
    <row r="98" spans="65:65" x14ac:dyDescent="0.25">
      <c r="BM98" s="100"/>
    </row>
  </sheetData>
  <mergeCells count="3">
    <mergeCell ref="B2:E2"/>
    <mergeCell ref="B3:E3"/>
    <mergeCell ref="B4:E4"/>
  </mergeCells>
  <pageMargins left="0.7" right="0.7" top="0.75" bottom="0.75" header="0.3" footer="0.3"/>
  <pageSetup scale="2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6E76-B46A-4B8B-AC44-066189026947}">
  <sheetPr>
    <tabColor rgb="FF0070C0"/>
  </sheetPr>
  <dimension ref="B2:I69"/>
  <sheetViews>
    <sheetView topLeftCell="A9" workbookViewId="0"/>
  </sheetViews>
  <sheetFormatPr defaultColWidth="8.7109375" defaultRowHeight="15" x14ac:dyDescent="0.25"/>
  <cols>
    <col min="1" max="1" width="3" customWidth="1"/>
    <col min="2" max="2" width="37.42578125" customWidth="1"/>
    <col min="3" max="3" width="1.42578125" customWidth="1"/>
    <col min="4" max="7" width="15.7109375" customWidth="1"/>
    <col min="8" max="8" width="12" style="36" customWidth="1"/>
    <col min="9" max="9" width="10.5703125" style="36" bestFit="1" customWidth="1"/>
    <col min="10" max="10" width="12.42578125" customWidth="1"/>
    <col min="11" max="11" width="12.7109375" customWidth="1"/>
    <col min="12" max="12" width="2.42578125" customWidth="1"/>
    <col min="13" max="13" width="21.42578125" customWidth="1"/>
    <col min="14" max="14" width="10" customWidth="1"/>
    <col min="15" max="15" width="13.28515625" customWidth="1"/>
    <col min="16" max="16" width="12.5703125" customWidth="1"/>
    <col min="17" max="17" width="2.42578125" customWidth="1"/>
    <col min="18" max="18" width="25.5703125" customWidth="1"/>
    <col min="19" max="19" width="10.5703125" customWidth="1"/>
    <col min="20" max="21" width="13.42578125" customWidth="1"/>
    <col min="22" max="22" width="2.5703125" customWidth="1"/>
    <col min="23" max="23" width="21.42578125" customWidth="1"/>
    <col min="24" max="24" width="10.7109375" customWidth="1"/>
    <col min="25" max="25" width="13.28515625" customWidth="1"/>
    <col min="26" max="26" width="13" customWidth="1"/>
    <col min="27" max="27" width="2.5703125" customWidth="1"/>
    <col min="28" max="28" width="22.42578125" customWidth="1"/>
    <col min="29" max="29" width="11.28515625" customWidth="1"/>
    <col min="30" max="31" width="13.42578125" customWidth="1"/>
    <col min="32" max="32" width="2.5703125" customWidth="1"/>
    <col min="34" max="34" width="7.5703125" customWidth="1"/>
    <col min="44" max="44" width="10.7109375" customWidth="1"/>
    <col min="49" max="49" width="10.7109375" customWidth="1"/>
    <col min="54" max="54" width="10.7109375" customWidth="1"/>
  </cols>
  <sheetData>
    <row r="2" spans="2:9" ht="15.75" x14ac:dyDescent="0.25">
      <c r="B2" s="303" t="s">
        <v>1</v>
      </c>
      <c r="C2" s="303"/>
      <c r="D2" s="303"/>
    </row>
    <row r="3" spans="2:9" ht="15.75" x14ac:dyDescent="0.25">
      <c r="B3" s="161" t="s">
        <v>117</v>
      </c>
      <c r="C3" s="161"/>
      <c r="D3" s="161"/>
      <c r="F3" s="76"/>
    </row>
    <row r="4" spans="2:9" ht="15.75" x14ac:dyDescent="0.25">
      <c r="B4" s="304" t="s">
        <v>187</v>
      </c>
      <c r="C4" s="304"/>
      <c r="D4" s="304"/>
    </row>
    <row r="5" spans="2:9" ht="15.75" x14ac:dyDescent="0.25">
      <c r="B5" s="129">
        <f>Cover!L4</f>
        <v>45884</v>
      </c>
      <c r="C5" s="129">
        <f>+[40]Cover!$L$4</f>
        <v>45000</v>
      </c>
      <c r="D5" s="131"/>
    </row>
    <row r="6" spans="2:9" x14ac:dyDescent="0.25">
      <c r="B6" s="201"/>
    </row>
    <row r="7" spans="2:9" x14ac:dyDescent="0.25">
      <c r="B7" s="202" t="s">
        <v>118</v>
      </c>
      <c r="C7" s="203"/>
      <c r="D7" s="203"/>
      <c r="E7" s="203"/>
      <c r="F7" s="203"/>
      <c r="G7" s="204"/>
    </row>
    <row r="8" spans="2:9" x14ac:dyDescent="0.25">
      <c r="B8" s="205" t="s">
        <v>119</v>
      </c>
      <c r="G8" s="206"/>
    </row>
    <row r="9" spans="2:9" x14ac:dyDescent="0.25">
      <c r="B9" s="207" t="s">
        <v>120</v>
      </c>
      <c r="C9" s="208"/>
      <c r="D9" s="208"/>
      <c r="E9" s="208"/>
      <c r="F9" s="208"/>
      <c r="G9" s="209"/>
    </row>
    <row r="10" spans="2:9" x14ac:dyDescent="0.25">
      <c r="B10" s="201"/>
      <c r="H10" s="231"/>
      <c r="I10" s="231"/>
    </row>
    <row r="11" spans="2:9" ht="22.5" x14ac:dyDescent="0.25">
      <c r="B11" s="210" t="s">
        <v>31</v>
      </c>
      <c r="C11" s="211"/>
      <c r="D11" s="210" t="s">
        <v>121</v>
      </c>
      <c r="E11" s="210" t="s">
        <v>122</v>
      </c>
      <c r="F11" s="232" t="s">
        <v>123</v>
      </c>
      <c r="G11" s="210" t="s">
        <v>124</v>
      </c>
      <c r="H11" s="233"/>
      <c r="I11" s="233"/>
    </row>
    <row r="12" spans="2:9" x14ac:dyDescent="0.25">
      <c r="B12" s="7"/>
      <c r="D12" s="12"/>
      <c r="E12" s="12"/>
      <c r="F12" s="12">
        <f>D12-E12</f>
        <v>0</v>
      </c>
      <c r="G12" s="11" t="e">
        <f>F12/D12</f>
        <v>#DIV/0!</v>
      </c>
      <c r="H12" s="231"/>
      <c r="I12" s="231"/>
    </row>
    <row r="14" spans="2:9" x14ac:dyDescent="0.25">
      <c r="B14" s="212" t="s">
        <v>125</v>
      </c>
      <c r="C14" s="19"/>
      <c r="D14" s="19"/>
      <c r="E14" s="19"/>
      <c r="F14" s="19"/>
      <c r="G14" s="19"/>
      <c r="H14" s="231"/>
    </row>
    <row r="15" spans="2:9" ht="30" customHeight="1" x14ac:dyDescent="0.25">
      <c r="B15" s="308"/>
      <c r="C15" s="309"/>
      <c r="D15" s="309"/>
      <c r="E15" s="309"/>
      <c r="F15" s="309"/>
      <c r="G15" s="310"/>
    </row>
    <row r="17" spans="2:9" x14ac:dyDescent="0.25">
      <c r="B17" s="212" t="s">
        <v>126</v>
      </c>
      <c r="C17" s="19"/>
      <c r="D17" s="19"/>
      <c r="E17" s="19"/>
      <c r="F17" s="19"/>
      <c r="G17" s="19"/>
    </row>
    <row r="18" spans="2:9" ht="24" customHeight="1" x14ac:dyDescent="0.25">
      <c r="B18" s="305"/>
      <c r="C18" s="306"/>
      <c r="D18" s="306"/>
      <c r="E18" s="306"/>
      <c r="F18" s="306"/>
      <c r="G18" s="307"/>
    </row>
    <row r="19" spans="2:9" x14ac:dyDescent="0.25">
      <c r="B19" s="213"/>
    </row>
    <row r="20" spans="2:9" x14ac:dyDescent="0.25">
      <c r="B20" s="212" t="s">
        <v>127</v>
      </c>
      <c r="C20" s="19"/>
      <c r="D20" s="19"/>
      <c r="E20" s="19"/>
      <c r="F20" s="19"/>
      <c r="G20" s="19"/>
    </row>
    <row r="21" spans="2:9" ht="33.6" customHeight="1" x14ac:dyDescent="0.25">
      <c r="B21" s="308"/>
      <c r="C21" s="309"/>
      <c r="D21" s="309"/>
      <c r="E21" s="309"/>
      <c r="F21" s="309"/>
      <c r="G21" s="310"/>
    </row>
    <row r="23" spans="2:9" x14ac:dyDescent="0.25">
      <c r="B23" s="202" t="s">
        <v>128</v>
      </c>
      <c r="C23" s="203"/>
      <c r="D23" s="203"/>
      <c r="E23" s="203"/>
      <c r="F23" s="203"/>
      <c r="G23" s="204"/>
    </row>
    <row r="24" spans="2:9" x14ac:dyDescent="0.25">
      <c r="B24" s="205" t="s">
        <v>119</v>
      </c>
      <c r="G24" s="206"/>
    </row>
    <row r="25" spans="2:9" x14ac:dyDescent="0.25">
      <c r="B25" s="207" t="s">
        <v>120</v>
      </c>
      <c r="C25" s="208"/>
      <c r="D25" s="208"/>
      <c r="E25" s="208"/>
      <c r="F25" s="208"/>
      <c r="G25" s="209"/>
    </row>
    <row r="26" spans="2:9" x14ac:dyDescent="0.25">
      <c r="B26" s="201"/>
      <c r="H26" s="231"/>
      <c r="I26" s="231"/>
    </row>
    <row r="27" spans="2:9" ht="33.75" x14ac:dyDescent="0.25">
      <c r="B27" s="210" t="s">
        <v>31</v>
      </c>
      <c r="C27" s="211"/>
      <c r="D27" s="210" t="s">
        <v>121</v>
      </c>
      <c r="E27" s="210" t="s">
        <v>122</v>
      </c>
      <c r="F27" s="210" t="s">
        <v>123</v>
      </c>
      <c r="G27" s="210" t="s">
        <v>129</v>
      </c>
      <c r="H27" s="233"/>
      <c r="I27" s="233"/>
    </row>
    <row r="28" spans="2:9" x14ac:dyDescent="0.25">
      <c r="B28" s="7"/>
      <c r="D28" s="12"/>
      <c r="E28" s="12"/>
      <c r="F28" s="12">
        <f>D28-E28</f>
        <v>0</v>
      </c>
      <c r="G28" s="11" t="e">
        <f>F28/D28</f>
        <v>#DIV/0!</v>
      </c>
      <c r="H28" s="231"/>
      <c r="I28" s="231"/>
    </row>
    <row r="30" spans="2:9" x14ac:dyDescent="0.25">
      <c r="B30" s="212" t="s">
        <v>125</v>
      </c>
      <c r="C30" s="19"/>
      <c r="D30" s="19"/>
      <c r="E30" s="19"/>
      <c r="F30" s="19"/>
      <c r="G30" s="19"/>
      <c r="H30" s="231"/>
    </row>
    <row r="31" spans="2:9" ht="160.9" customHeight="1" x14ac:dyDescent="0.25">
      <c r="B31" s="311"/>
      <c r="C31" s="312"/>
      <c r="D31" s="312"/>
      <c r="E31" s="312"/>
      <c r="F31" s="312"/>
      <c r="G31" s="313"/>
    </row>
    <row r="33" spans="2:9" x14ac:dyDescent="0.25">
      <c r="B33" s="212" t="s">
        <v>126</v>
      </c>
      <c r="C33" s="19"/>
      <c r="D33" s="19"/>
      <c r="E33" s="19"/>
      <c r="F33" s="19"/>
      <c r="G33" s="19"/>
    </row>
    <row r="34" spans="2:9" x14ac:dyDescent="0.25">
      <c r="B34" s="305"/>
      <c r="C34" s="306"/>
      <c r="D34" s="306"/>
      <c r="E34" s="306"/>
      <c r="F34" s="306"/>
      <c r="G34" s="307"/>
    </row>
    <row r="35" spans="2:9" x14ac:dyDescent="0.25">
      <c r="B35" s="213"/>
    </row>
    <row r="36" spans="2:9" x14ac:dyDescent="0.25">
      <c r="B36" s="212" t="s">
        <v>127</v>
      </c>
      <c r="C36" s="19"/>
      <c r="D36" s="19"/>
      <c r="E36" s="19"/>
      <c r="F36" s="19"/>
      <c r="G36" s="19"/>
    </row>
    <row r="37" spans="2:9" ht="30" customHeight="1" x14ac:dyDescent="0.25">
      <c r="B37" s="308"/>
      <c r="C37" s="309"/>
      <c r="D37" s="309"/>
      <c r="E37" s="309"/>
      <c r="F37" s="309"/>
      <c r="G37" s="310"/>
    </row>
    <row r="39" spans="2:9" x14ac:dyDescent="0.25">
      <c r="B39" s="202" t="s">
        <v>130</v>
      </c>
      <c r="C39" s="203"/>
      <c r="D39" s="203"/>
      <c r="E39" s="203"/>
      <c r="F39" s="203"/>
      <c r="G39" s="204"/>
    </row>
    <row r="40" spans="2:9" x14ac:dyDescent="0.25">
      <c r="B40" s="205" t="s">
        <v>131</v>
      </c>
      <c r="G40" s="206"/>
    </row>
    <row r="41" spans="2:9" x14ac:dyDescent="0.25">
      <c r="B41" s="207" t="s">
        <v>133</v>
      </c>
      <c r="C41" s="208"/>
      <c r="D41" s="208"/>
      <c r="E41" s="208"/>
      <c r="F41" s="208"/>
      <c r="G41" s="209"/>
    </row>
    <row r="42" spans="2:9" x14ac:dyDescent="0.25">
      <c r="B42" s="201"/>
      <c r="H42" s="231"/>
      <c r="I42" s="231"/>
    </row>
    <row r="43" spans="2:9" ht="33.75" x14ac:dyDescent="0.25">
      <c r="B43" s="210" t="s">
        <v>31</v>
      </c>
      <c r="C43" s="211"/>
      <c r="D43" s="210" t="s">
        <v>121</v>
      </c>
      <c r="E43" s="210" t="s">
        <v>122</v>
      </c>
      <c r="F43" s="210" t="s">
        <v>123</v>
      </c>
      <c r="G43" s="210" t="s">
        <v>129</v>
      </c>
      <c r="H43" s="233"/>
      <c r="I43" s="233"/>
    </row>
    <row r="44" spans="2:9" x14ac:dyDescent="0.25">
      <c r="B44" s="234"/>
      <c r="D44" s="12"/>
      <c r="E44" s="12"/>
      <c r="F44" s="12">
        <f>D44-E44</f>
        <v>0</v>
      </c>
      <c r="G44" s="11" t="e">
        <f>F44/D44</f>
        <v>#DIV/0!</v>
      </c>
      <c r="H44" s="231"/>
      <c r="I44" s="231"/>
    </row>
    <row r="46" spans="2:9" x14ac:dyDescent="0.25">
      <c r="B46" s="212" t="s">
        <v>125</v>
      </c>
      <c r="C46" s="19"/>
      <c r="D46" s="19"/>
      <c r="E46" s="19"/>
      <c r="F46" s="19"/>
      <c r="G46" s="19"/>
      <c r="H46" s="231"/>
    </row>
    <row r="47" spans="2:9" ht="49.15" customHeight="1" x14ac:dyDescent="0.25">
      <c r="B47" s="311"/>
      <c r="C47" s="312"/>
      <c r="D47" s="312"/>
      <c r="E47" s="312"/>
      <c r="F47" s="312"/>
      <c r="G47" s="313"/>
    </row>
    <row r="49" spans="2:9" x14ac:dyDescent="0.25">
      <c r="B49" s="212" t="s">
        <v>126</v>
      </c>
      <c r="C49" s="19"/>
      <c r="D49" s="19"/>
      <c r="E49" s="19"/>
      <c r="F49" s="19"/>
      <c r="G49" s="19"/>
    </row>
    <row r="50" spans="2:9" x14ac:dyDescent="0.25">
      <c r="B50" s="305"/>
      <c r="C50" s="306"/>
      <c r="D50" s="306"/>
      <c r="E50" s="306"/>
      <c r="F50" s="306"/>
      <c r="G50" s="307"/>
    </row>
    <row r="51" spans="2:9" x14ac:dyDescent="0.25">
      <c r="B51" s="213"/>
    </row>
    <row r="52" spans="2:9" x14ac:dyDescent="0.25">
      <c r="B52" s="212" t="s">
        <v>127</v>
      </c>
      <c r="C52" s="19"/>
      <c r="D52" s="19"/>
      <c r="E52" s="19"/>
      <c r="F52" s="19"/>
      <c r="G52" s="19"/>
    </row>
    <row r="53" spans="2:9" x14ac:dyDescent="0.25">
      <c r="B53" s="308"/>
      <c r="C53" s="309"/>
      <c r="D53" s="309"/>
      <c r="E53" s="309"/>
      <c r="F53" s="309"/>
      <c r="G53" s="310"/>
    </row>
    <row r="55" spans="2:9" x14ac:dyDescent="0.25">
      <c r="B55" s="202" t="s">
        <v>132</v>
      </c>
      <c r="C55" s="203"/>
      <c r="D55" s="203"/>
      <c r="E55" s="203"/>
      <c r="F55" s="203"/>
      <c r="G55" s="204"/>
    </row>
    <row r="56" spans="2:9" x14ac:dyDescent="0.25">
      <c r="B56" s="205" t="s">
        <v>131</v>
      </c>
      <c r="G56" s="206"/>
    </row>
    <row r="57" spans="2:9" x14ac:dyDescent="0.25">
      <c r="B57" s="207" t="s">
        <v>133</v>
      </c>
      <c r="C57" s="208"/>
      <c r="D57" s="208"/>
      <c r="E57" s="208"/>
      <c r="F57" s="208"/>
      <c r="G57" s="209"/>
    </row>
    <row r="58" spans="2:9" x14ac:dyDescent="0.25">
      <c r="B58" s="201"/>
      <c r="H58" s="231"/>
      <c r="I58" s="231"/>
    </row>
    <row r="59" spans="2:9" ht="33.75" x14ac:dyDescent="0.25">
      <c r="B59" s="210" t="s">
        <v>31</v>
      </c>
      <c r="C59" s="211"/>
      <c r="D59" s="210" t="s">
        <v>121</v>
      </c>
      <c r="E59" s="210" t="s">
        <v>122</v>
      </c>
      <c r="F59" s="210" t="s">
        <v>123</v>
      </c>
      <c r="G59" s="210" t="s">
        <v>129</v>
      </c>
      <c r="H59" s="233"/>
      <c r="I59" s="233"/>
    </row>
    <row r="60" spans="2:9" x14ac:dyDescent="0.25">
      <c r="B60" s="234"/>
      <c r="D60" s="12"/>
      <c r="E60" s="12"/>
      <c r="F60" s="12">
        <f>D60-E60</f>
        <v>0</v>
      </c>
      <c r="G60" s="11" t="e">
        <f>F60/D60</f>
        <v>#DIV/0!</v>
      </c>
      <c r="H60" s="231"/>
      <c r="I60" s="235"/>
    </row>
    <row r="62" spans="2:9" x14ac:dyDescent="0.25">
      <c r="B62" s="212" t="s">
        <v>125</v>
      </c>
      <c r="C62" s="19"/>
      <c r="D62" s="19"/>
      <c r="E62" s="19"/>
      <c r="F62" s="19"/>
      <c r="G62" s="19"/>
      <c r="H62" s="231"/>
    </row>
    <row r="63" spans="2:9" ht="45.6" customHeight="1" x14ac:dyDescent="0.25">
      <c r="B63" s="311"/>
      <c r="C63" s="312"/>
      <c r="D63" s="312"/>
      <c r="E63" s="312"/>
      <c r="F63" s="312"/>
      <c r="G63" s="313"/>
    </row>
    <row r="65" spans="2:7" x14ac:dyDescent="0.25">
      <c r="B65" s="212" t="s">
        <v>126</v>
      </c>
      <c r="C65" s="19"/>
      <c r="D65" s="19"/>
      <c r="E65" s="19"/>
      <c r="F65" s="19"/>
      <c r="G65" s="19"/>
    </row>
    <row r="66" spans="2:7" x14ac:dyDescent="0.25">
      <c r="B66" s="305"/>
      <c r="C66" s="306"/>
      <c r="D66" s="306"/>
      <c r="E66" s="306"/>
      <c r="F66" s="306"/>
      <c r="G66" s="307"/>
    </row>
    <row r="67" spans="2:7" x14ac:dyDescent="0.25">
      <c r="B67" s="213"/>
    </row>
    <row r="68" spans="2:7" x14ac:dyDescent="0.25">
      <c r="B68" s="212" t="s">
        <v>127</v>
      </c>
      <c r="C68" s="19"/>
      <c r="D68" s="19"/>
      <c r="E68" s="19"/>
      <c r="F68" s="19"/>
      <c r="G68" s="19"/>
    </row>
    <row r="69" spans="2:7" x14ac:dyDescent="0.25">
      <c r="B69" s="308"/>
      <c r="C69" s="309"/>
      <c r="D69" s="309"/>
      <c r="E69" s="309"/>
      <c r="F69" s="309"/>
      <c r="G69" s="310"/>
    </row>
  </sheetData>
  <mergeCells count="14">
    <mergeCell ref="B31:G31"/>
    <mergeCell ref="B2:D2"/>
    <mergeCell ref="B4:D4"/>
    <mergeCell ref="B15:G15"/>
    <mergeCell ref="B18:G18"/>
    <mergeCell ref="B21:G21"/>
    <mergeCell ref="B66:G66"/>
    <mergeCell ref="B69:G69"/>
    <mergeCell ref="B34:G34"/>
    <mergeCell ref="B37:G37"/>
    <mergeCell ref="B47:G47"/>
    <mergeCell ref="B50:G50"/>
    <mergeCell ref="B53:G53"/>
    <mergeCell ref="B63:G63"/>
  </mergeCells>
  <pageMargins left="0.7" right="0.7" top="0.75" bottom="0.75" header="0.3" footer="0.3"/>
  <pageSetup scale="64" fitToHeight="2" orientation="landscape" r:id="rId1"/>
  <headerFooter>
    <oddHeader>&amp;F</oddHeader>
    <oddFooter>Page &amp;P of &amp;N</oddFooter>
  </headerFooter>
  <rowBreaks count="1" manualBreakCount="1">
    <brk id="38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7C65-322E-1C4A-975A-9DFA5CE30EB8}">
  <sheetPr>
    <tabColor rgb="FF0070C0"/>
  </sheetPr>
  <dimension ref="B2:Q30"/>
  <sheetViews>
    <sheetView workbookViewId="0"/>
  </sheetViews>
  <sheetFormatPr defaultColWidth="10.7109375" defaultRowHeight="15" x14ac:dyDescent="0.25"/>
  <cols>
    <col min="1" max="1" width="3" customWidth="1"/>
    <col min="2" max="2" width="5.7109375" customWidth="1"/>
    <col min="3" max="3" width="20.42578125" bestFit="1" customWidth="1"/>
    <col min="4" max="4" width="16.42578125" customWidth="1"/>
    <col min="5" max="7" width="12.5703125" bestFit="1" customWidth="1"/>
    <col min="8" max="8" width="13.28515625" bestFit="1" customWidth="1"/>
    <col min="9" max="11" width="12.7109375" bestFit="1" customWidth="1"/>
    <col min="12" max="16" width="12.5703125" bestFit="1" customWidth="1"/>
    <col min="17" max="17" width="11.28515625" bestFit="1" customWidth="1"/>
  </cols>
  <sheetData>
    <row r="2" spans="2:17" ht="15.75" x14ac:dyDescent="0.25">
      <c r="B2" s="303" t="s">
        <v>1</v>
      </c>
      <c r="C2" s="303"/>
      <c r="D2" s="303"/>
    </row>
    <row r="3" spans="2:17" ht="15.75" x14ac:dyDescent="0.25">
      <c r="B3" s="303" t="s">
        <v>134</v>
      </c>
      <c r="C3" s="303"/>
      <c r="D3" s="303"/>
    </row>
    <row r="4" spans="2:17" ht="15.75" x14ac:dyDescent="0.25">
      <c r="B4" s="304" t="s">
        <v>187</v>
      </c>
      <c r="C4" s="304"/>
      <c r="D4" s="304"/>
    </row>
    <row r="5" spans="2:17" ht="15.75" x14ac:dyDescent="0.25">
      <c r="B5" s="130" t="s">
        <v>18</v>
      </c>
      <c r="C5" s="129">
        <f>+Cover!$L$4</f>
        <v>45884</v>
      </c>
      <c r="D5" s="131"/>
    </row>
    <row r="7" spans="2:17" x14ac:dyDescent="0.25"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</row>
    <row r="8" spans="2:17" x14ac:dyDescent="0.25">
      <c r="E8" s="223">
        <v>45503</v>
      </c>
      <c r="F8" s="223">
        <v>45534</v>
      </c>
      <c r="G8" s="223">
        <v>45565</v>
      </c>
      <c r="H8" s="223">
        <v>45595</v>
      </c>
      <c r="I8" s="223">
        <v>45626</v>
      </c>
      <c r="J8" s="223">
        <v>45656</v>
      </c>
      <c r="K8" s="223">
        <v>45687</v>
      </c>
      <c r="L8" s="223">
        <v>45716</v>
      </c>
      <c r="M8" s="223">
        <v>45744</v>
      </c>
      <c r="N8" s="223">
        <v>45775</v>
      </c>
      <c r="O8" s="223">
        <v>45805</v>
      </c>
      <c r="P8" s="223">
        <v>45836</v>
      </c>
      <c r="Q8" s="22" t="s">
        <v>193</v>
      </c>
    </row>
    <row r="9" spans="2:17" x14ac:dyDescent="0.25">
      <c r="B9" s="96" t="s">
        <v>135</v>
      </c>
    </row>
    <row r="11" spans="2:17" x14ac:dyDescent="0.25">
      <c r="C11" s="249" t="s">
        <v>136</v>
      </c>
      <c r="D11" s="248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1">
        <f>SUM(E11:P11)</f>
        <v>0</v>
      </c>
    </row>
    <row r="12" spans="2:17" x14ac:dyDescent="0.25">
      <c r="C12" s="249" t="s">
        <v>137</v>
      </c>
      <c r="D12" s="248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>
        <f t="shared" ref="Q12:Q17" si="0">SUM(E12:P12)</f>
        <v>0</v>
      </c>
    </row>
    <row r="13" spans="2:17" x14ac:dyDescent="0.25">
      <c r="C13" s="249" t="s">
        <v>138</v>
      </c>
      <c r="D13" s="248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1">
        <f t="shared" si="0"/>
        <v>0</v>
      </c>
    </row>
    <row r="14" spans="2:17" x14ac:dyDescent="0.25">
      <c r="C14" s="249" t="s">
        <v>139</v>
      </c>
      <c r="D14" s="248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>
        <f t="shared" si="0"/>
        <v>0</v>
      </c>
    </row>
    <row r="15" spans="2:17" x14ac:dyDescent="0.25">
      <c r="C15" s="249" t="s">
        <v>140</v>
      </c>
      <c r="D15" s="248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>
        <f t="shared" si="0"/>
        <v>0</v>
      </c>
    </row>
    <row r="16" spans="2:17" x14ac:dyDescent="0.25">
      <c r="C16" s="249" t="s">
        <v>141</v>
      </c>
      <c r="D16" s="248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>
        <f t="shared" si="0"/>
        <v>0</v>
      </c>
    </row>
    <row r="17" spans="2:17" x14ac:dyDescent="0.25">
      <c r="C17" s="249" t="s">
        <v>142</v>
      </c>
      <c r="D17" s="248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>
        <f t="shared" si="0"/>
        <v>0</v>
      </c>
    </row>
    <row r="18" spans="2:17" x14ac:dyDescent="0.25">
      <c r="C18" s="249"/>
      <c r="D18" s="249" t="s">
        <v>143</v>
      </c>
      <c r="E18" s="253">
        <f>SUM(E11:E17)</f>
        <v>0</v>
      </c>
      <c r="F18" s="253">
        <f>SUM(F11:F17)</f>
        <v>0</v>
      </c>
      <c r="G18" s="253">
        <f>SUM(G11:G17)</f>
        <v>0</v>
      </c>
      <c r="H18" s="253">
        <f t="shared" ref="H18:Q18" si="1">SUM(H11:H17)</f>
        <v>0</v>
      </c>
      <c r="I18" s="253">
        <f t="shared" si="1"/>
        <v>0</v>
      </c>
      <c r="J18" s="253">
        <f t="shared" si="1"/>
        <v>0</v>
      </c>
      <c r="K18" s="253">
        <f t="shared" si="1"/>
        <v>0</v>
      </c>
      <c r="L18" s="253">
        <f t="shared" si="1"/>
        <v>0</v>
      </c>
      <c r="M18" s="253">
        <f t="shared" si="1"/>
        <v>0</v>
      </c>
      <c r="N18" s="253">
        <f t="shared" si="1"/>
        <v>0</v>
      </c>
      <c r="O18" s="253">
        <f t="shared" si="1"/>
        <v>0</v>
      </c>
      <c r="P18" s="253">
        <f t="shared" si="1"/>
        <v>0</v>
      </c>
      <c r="Q18" s="253">
        <f t="shared" si="1"/>
        <v>0</v>
      </c>
    </row>
    <row r="19" spans="2:17" x14ac:dyDescent="0.25">
      <c r="E19" s="217"/>
      <c r="F19" s="217"/>
      <c r="G19" s="217"/>
      <c r="I19" s="100"/>
      <c r="J19" s="100"/>
      <c r="K19" s="100"/>
      <c r="L19" s="217"/>
    </row>
    <row r="20" spans="2:17" x14ac:dyDescent="0.25">
      <c r="B20" s="96" t="s">
        <v>144</v>
      </c>
      <c r="E20" s="217"/>
      <c r="F20" s="217"/>
      <c r="G20" s="217"/>
      <c r="L20" s="217"/>
    </row>
    <row r="21" spans="2:17" x14ac:dyDescent="0.25"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</row>
    <row r="22" spans="2:17" x14ac:dyDescent="0.25">
      <c r="C22" s="249" t="s">
        <v>136</v>
      </c>
      <c r="D22" s="248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1">
        <f>SUM(E22:P22)</f>
        <v>0</v>
      </c>
    </row>
    <row r="23" spans="2:17" x14ac:dyDescent="0.25">
      <c r="C23" s="249" t="s">
        <v>137</v>
      </c>
      <c r="D23" s="248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1">
        <f t="shared" ref="Q23:Q28" si="2">SUM(E23:P23)</f>
        <v>0</v>
      </c>
    </row>
    <row r="24" spans="2:17" x14ac:dyDescent="0.25">
      <c r="C24" s="249" t="s">
        <v>138</v>
      </c>
      <c r="D24" s="248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1">
        <f t="shared" si="2"/>
        <v>0</v>
      </c>
    </row>
    <row r="25" spans="2:17" x14ac:dyDescent="0.25">
      <c r="C25" s="249" t="s">
        <v>139</v>
      </c>
      <c r="D25" s="248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1">
        <f t="shared" si="2"/>
        <v>0</v>
      </c>
    </row>
    <row r="26" spans="2:17" x14ac:dyDescent="0.25">
      <c r="C26" s="249" t="s">
        <v>140</v>
      </c>
      <c r="D26" s="248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1">
        <f t="shared" si="2"/>
        <v>0</v>
      </c>
    </row>
    <row r="27" spans="2:17" x14ac:dyDescent="0.25">
      <c r="C27" s="249" t="s">
        <v>141</v>
      </c>
      <c r="D27" s="248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1">
        <f t="shared" si="2"/>
        <v>0</v>
      </c>
    </row>
    <row r="28" spans="2:17" x14ac:dyDescent="0.25">
      <c r="C28" s="249" t="s">
        <v>145</v>
      </c>
      <c r="D28" s="248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>
        <f t="shared" si="2"/>
        <v>0</v>
      </c>
    </row>
    <row r="29" spans="2:17" x14ac:dyDescent="0.25">
      <c r="C29" s="248"/>
      <c r="D29" s="249" t="s">
        <v>143</v>
      </c>
      <c r="E29" s="253">
        <f>SUM(E22:E28)</f>
        <v>0</v>
      </c>
      <c r="F29" s="253">
        <f>SUM(F22:F28)</f>
        <v>0</v>
      </c>
      <c r="G29" s="253">
        <f>SUM(G22:G28)</f>
        <v>0</v>
      </c>
      <c r="H29" s="253">
        <f t="shared" ref="H29:Q29" si="3">SUM(H22:H28)</f>
        <v>0</v>
      </c>
      <c r="I29" s="253">
        <f t="shared" si="3"/>
        <v>0</v>
      </c>
      <c r="J29" s="253">
        <f t="shared" si="3"/>
        <v>0</v>
      </c>
      <c r="K29" s="253">
        <f t="shared" si="3"/>
        <v>0</v>
      </c>
      <c r="L29" s="253">
        <f t="shared" si="3"/>
        <v>0</v>
      </c>
      <c r="M29" s="253">
        <f t="shared" si="3"/>
        <v>0</v>
      </c>
      <c r="N29" s="253">
        <f t="shared" si="3"/>
        <v>0</v>
      </c>
      <c r="O29" s="253">
        <f t="shared" si="3"/>
        <v>0</v>
      </c>
      <c r="P29" s="253">
        <f t="shared" si="3"/>
        <v>0</v>
      </c>
      <c r="Q29" s="253">
        <f t="shared" si="3"/>
        <v>0</v>
      </c>
    </row>
    <row r="30" spans="2:17" x14ac:dyDescent="0.25">
      <c r="I30" s="100"/>
      <c r="J30" s="100"/>
      <c r="K30" s="100"/>
      <c r="L30" s="217"/>
    </row>
  </sheetData>
  <mergeCells count="3">
    <mergeCell ref="B2:D2"/>
    <mergeCell ref="B3:D3"/>
    <mergeCell ref="B4:D4"/>
  </mergeCells>
  <phoneticPr fontId="5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10e215-75b9-4b8e-bbe1-69b40c95a669">
      <Terms xmlns="http://schemas.microsoft.com/office/infopath/2007/PartnerControls"/>
    </lcf76f155ced4ddcb4097134ff3c332f>
    <TaxCatchAll xmlns="32f3a428-6f88-4a3b-a56e-a51f3802cd3a" xsi:nil="true"/>
    <TransmittalStatus xmlns="2c10e215-75b9-4b8e-bbe1-69b40c95a669">Drafted</TransmittalStatus>
    <TranslatedLang xmlns="2c10e215-75b9-4b8e-bbe1-69b40c95a6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3FF37BADF584EB4D7217DB40302D2" ma:contentTypeVersion="20" ma:contentTypeDescription="Create a new document." ma:contentTypeScope="" ma:versionID="952a1ef008c000cc5f39e5fb460670cd">
  <xsd:schema xmlns:xsd="http://www.w3.org/2001/XMLSchema" xmlns:xs="http://www.w3.org/2001/XMLSchema" xmlns:p="http://schemas.microsoft.com/office/2006/metadata/properties" xmlns:ns2="2c10e215-75b9-4b8e-bbe1-69b40c95a669" xmlns:ns3="5e1628cc-a815-47df-b5ad-ee310ca8d5b1" xmlns:ns4="32f3a428-6f88-4a3b-a56e-a51f3802cd3a" targetNamespace="http://schemas.microsoft.com/office/2006/metadata/properties" ma:root="true" ma:fieldsID="e876f6dd93f00f36c94d2b2e5c39c3ad" ns2:_="" ns3:_="" ns4:_="">
    <xsd:import namespace="2c10e215-75b9-4b8e-bbe1-69b40c95a669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ransmittal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TranslatedLa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0e215-75b9-4b8e-bbe1-69b40c95a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ransmittalStatus" ma:index="12" nillable="true" ma:displayName="Transmittal Status" ma:default="Drafted" ma:format="Dropdown" ma:internalName="TransmittalStatus">
      <xsd:simpleType>
        <xsd:restriction base="dms:Choice">
          <xsd:enumeration value="Drafted"/>
          <xsd:enumeration value="Pending Approval"/>
          <xsd:enumeration value="Transmitted"/>
          <xsd:enumeration value="Pending External Response"/>
          <xsd:enumeration value="Pending to Transmit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ranslatedLang" ma:index="26" nillable="true" ma:displayName="Translated Language" ma:internalName="TranslatedLang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4AF0C0-4EA7-4490-95FB-3263662088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A02A6-2500-4EDD-B589-309F626B60AE}">
  <ds:schemaRefs>
    <ds:schemaRef ds:uri="http://purl.org/dc/dcmitype/"/>
    <ds:schemaRef ds:uri="http://schemas.microsoft.com/office/2006/documentManagement/types"/>
    <ds:schemaRef ds:uri="32f3a428-6f88-4a3b-a56e-a51f3802cd3a"/>
    <ds:schemaRef ds:uri="5e1628cc-a815-47df-b5ad-ee310ca8d5b1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c10e215-75b9-4b8e-bbe1-69b40c95a669"/>
  </ds:schemaRefs>
</ds:datastoreItem>
</file>

<file path=customXml/itemProps3.xml><?xml version="1.0" encoding="utf-8"?>
<ds:datastoreItem xmlns:ds="http://schemas.openxmlformats.org/officeDocument/2006/customXml" ds:itemID="{88A916B9-2FC6-4BAC-861E-777D01F1D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10e215-75b9-4b8e-bbe1-69b40c95a669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Cover</vt:lpstr>
      <vt:lpstr>Financial&gt;&gt;&gt;</vt:lpstr>
      <vt:lpstr>B2A Summary</vt:lpstr>
      <vt:lpstr>Monthly Revenues</vt:lpstr>
      <vt:lpstr>Monthly Expenses</vt:lpstr>
      <vt:lpstr>Variances Detail</vt:lpstr>
      <vt:lpstr>Pension and Benefits</vt:lpstr>
      <vt:lpstr>Source Docs&gt;&gt;&gt;</vt:lpstr>
      <vt:lpstr>Expenses_FY25B</vt:lpstr>
      <vt:lpstr>Revenue_FY25B</vt:lpstr>
      <vt:lpstr>'B2A Summary'!Print_Area</vt:lpstr>
      <vt:lpstr>'Monthly Expenses'!Print_Area</vt:lpstr>
      <vt:lpstr>'Monthly Revenues'!Print_Area</vt:lpstr>
      <vt:lpstr>'Variances Detail'!Print_Area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RRC</dc:creator>
  <cp:keywords/>
  <dc:description/>
  <cp:lastModifiedBy>Maribel Cruz de Jesús</cp:lastModifiedBy>
  <cp:revision/>
  <cp:lastPrinted>2025-08-15T12:07:30Z</cp:lastPrinted>
  <dcterms:created xsi:type="dcterms:W3CDTF">2020-11-05T18:38:59Z</dcterms:created>
  <dcterms:modified xsi:type="dcterms:W3CDTF">2025-08-15T12:07:46Z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0x010100AF23FF37BADF584EB4D7217DB40302D2</vt:lpwstr>
  </property>
  <property fmtid="{D5CDD505-2E9C-101B-9397-08002B2CF9AE}" pid="3" name="MediaServiceImageTags">
    <vt:lpwstr/>
  </property>
</Properties>
</file>